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3"/>
  <workbookPr date1904="1" showInkAnnotation="0" autoCompressPictures="0"/>
  <mc:AlternateContent xmlns:mc="http://schemas.openxmlformats.org/markup-compatibility/2006">
    <mc:Choice Requires="x15">
      <x15ac:absPath xmlns:x15ac="http://schemas.microsoft.com/office/spreadsheetml/2010/11/ac" url="/Users/tove/Documents/Lønberegninger/20-21/Ny ferielov/"/>
    </mc:Choice>
  </mc:AlternateContent>
  <xr:revisionPtr revIDLastSave="0" documentId="13_ncr:1_{C70568D2-08D0-2F44-B1E4-084DD8426B49}" xr6:coauthVersionLast="45" xr6:coauthVersionMax="45" xr10:uidLastSave="{00000000-0000-0000-0000-000000000000}"/>
  <bookViews>
    <workbookView xWindow="0" yWindow="460" windowWidth="28100" windowHeight="17540" tabRatio="500" xr2:uid="{00000000-000D-0000-FFFF-FFFF00000000}"/>
  </bookViews>
  <sheets>
    <sheet name="Eksempel løn særlige feriedage" sheetId="13" r:id="rId1"/>
    <sheet name="løn særlige feriedage" sheetId="5" r:id="rId2"/>
    <sheet name="SH-dage" sheetId="10" state="hidden" r:id="rId3"/>
  </sheets>
  <definedNames>
    <definedName name="lontabel">#REF!</definedName>
    <definedName name="procentregulering">#REF!</definedName>
    <definedName name="_xlnm.Print_Area" localSheetId="0">'Eksempel løn særlige feriedage'!$A$1:$G$69</definedName>
    <definedName name="_xlnm.Print_Area" localSheetId="1">'løn særlige feriedage'!$A$1:$G$69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62" i="13" l="1"/>
  <c r="A62" i="13"/>
  <c r="A61" i="13"/>
  <c r="C57" i="13"/>
  <c r="F56" i="13"/>
  <c r="E56" i="13"/>
  <c r="F55" i="13"/>
  <c r="E55" i="13"/>
  <c r="F54" i="13"/>
  <c r="E54" i="13"/>
  <c r="F53" i="13"/>
  <c r="F57" i="13" s="1"/>
  <c r="E53" i="13"/>
  <c r="E57" i="13" s="1"/>
  <c r="F52" i="13"/>
  <c r="E52" i="13"/>
  <c r="F51" i="13"/>
  <c r="E51" i="13"/>
  <c r="F50" i="13"/>
  <c r="E50" i="13"/>
  <c r="A47" i="13"/>
  <c r="B42" i="13"/>
  <c r="G41" i="13"/>
  <c r="F41" i="13"/>
  <c r="D41" i="13"/>
  <c r="G40" i="13"/>
  <c r="F40" i="13"/>
  <c r="D40" i="13"/>
  <c r="G39" i="13"/>
  <c r="F39" i="13"/>
  <c r="D39" i="13"/>
  <c r="G37" i="13"/>
  <c r="F37" i="13"/>
  <c r="D37" i="13"/>
  <c r="F36" i="13"/>
  <c r="F35" i="13"/>
  <c r="G34" i="13"/>
  <c r="F34" i="13"/>
  <c r="D34" i="13"/>
  <c r="G32" i="13"/>
  <c r="D32" i="13"/>
  <c r="G31" i="13"/>
  <c r="D31" i="13"/>
  <c r="G30" i="13"/>
  <c r="D30" i="13"/>
  <c r="G29" i="13"/>
  <c r="F29" i="13"/>
  <c r="D29" i="13"/>
  <c r="G28" i="13"/>
  <c r="F28" i="13"/>
  <c r="D28" i="13"/>
  <c r="G27" i="13"/>
  <c r="F27" i="13"/>
  <c r="D27" i="13"/>
  <c r="F26" i="13"/>
  <c r="G25" i="13"/>
  <c r="F25" i="13"/>
  <c r="D25" i="13"/>
  <c r="G24" i="13"/>
  <c r="F24" i="13"/>
  <c r="D24" i="13"/>
  <c r="F23" i="13"/>
  <c r="G23" i="13" s="1"/>
  <c r="D23" i="13"/>
  <c r="D22" i="13"/>
  <c r="D20" i="13"/>
  <c r="F19" i="13"/>
  <c r="G19" i="13" s="1"/>
  <c r="D19" i="13"/>
  <c r="F18" i="13"/>
  <c r="F17" i="13"/>
  <c r="D17" i="13"/>
  <c r="D42" i="13" s="1"/>
  <c r="A15" i="13"/>
  <c r="C12" i="13"/>
  <c r="F69" i="13" s="1"/>
  <c r="A9" i="13"/>
  <c r="C5" i="13"/>
  <c r="A1" i="13" s="1"/>
  <c r="F42" i="13" l="1"/>
  <c r="B58" i="13"/>
  <c r="F58" i="13"/>
  <c r="F61" i="13" s="1"/>
  <c r="F63" i="13" s="1"/>
  <c r="G17" i="13"/>
  <c r="G42" i="13" s="1"/>
  <c r="F66" i="13"/>
  <c r="F67" i="13"/>
  <c r="A47" i="5"/>
  <c r="F64" i="13" l="1"/>
  <c r="F68" i="13" s="1"/>
  <c r="F65" i="13"/>
  <c r="G28" i="5"/>
  <c r="F28" i="5"/>
  <c r="D28" i="5"/>
  <c r="D27" i="5"/>
  <c r="C57" i="5" l="1"/>
  <c r="E51" i="5"/>
  <c r="E50" i="5"/>
  <c r="A15" i="5"/>
  <c r="F50" i="5"/>
  <c r="F51" i="5"/>
  <c r="F52" i="5"/>
  <c r="F53" i="5"/>
  <c r="F54" i="5"/>
  <c r="F55" i="5"/>
  <c r="F56" i="5"/>
  <c r="F34" i="5"/>
  <c r="G34" i="5"/>
  <c r="F37" i="5"/>
  <c r="G37" i="5"/>
  <c r="F39" i="5"/>
  <c r="G39" i="5"/>
  <c r="F40" i="5"/>
  <c r="G40" i="5"/>
  <c r="G24" i="5"/>
  <c r="G25" i="5"/>
  <c r="G27" i="5"/>
  <c r="G29" i="5"/>
  <c r="G30" i="5"/>
  <c r="G31" i="5"/>
  <c r="G32" i="5"/>
  <c r="G41" i="5"/>
  <c r="G19" i="5"/>
  <c r="F62" i="5"/>
  <c r="E52" i="5"/>
  <c r="E53" i="5"/>
  <c r="E54" i="5"/>
  <c r="E55" i="5"/>
  <c r="E56" i="5"/>
  <c r="F35" i="5"/>
  <c r="F36" i="5"/>
  <c r="F17" i="5"/>
  <c r="G17" i="5" s="1"/>
  <c r="F18" i="5"/>
  <c r="F19" i="5"/>
  <c r="F23" i="5"/>
  <c r="G23" i="5" s="1"/>
  <c r="F24" i="5"/>
  <c r="F25" i="5"/>
  <c r="F26" i="5"/>
  <c r="F27" i="5"/>
  <c r="F29" i="5"/>
  <c r="F41" i="5"/>
  <c r="C5" i="5"/>
  <c r="A62" i="5"/>
  <c r="A61" i="5"/>
  <c r="D17" i="5"/>
  <c r="D20" i="5"/>
  <c r="D23" i="5"/>
  <c r="D24" i="5"/>
  <c r="D29" i="5"/>
  <c r="D19" i="5"/>
  <c r="D22" i="5"/>
  <c r="D25" i="5"/>
  <c r="D30" i="5"/>
  <c r="D31" i="5"/>
  <c r="D32" i="5"/>
  <c r="D34" i="5"/>
  <c r="D37" i="5"/>
  <c r="D39" i="5"/>
  <c r="D40" i="5"/>
  <c r="D41" i="5"/>
  <c r="C12" i="5"/>
  <c r="B42" i="5"/>
  <c r="C16" i="10"/>
  <c r="F16" i="10" s="1"/>
  <c r="I16" i="10" s="1"/>
  <c r="D16" i="10"/>
  <c r="E16" i="10"/>
  <c r="O16" i="10"/>
  <c r="P16" i="10"/>
  <c r="C17" i="10"/>
  <c r="F17" i="10" s="1"/>
  <c r="I17" i="10" s="1"/>
  <c r="D17" i="10"/>
  <c r="E17" i="10"/>
  <c r="O17" i="10"/>
  <c r="P17" i="10"/>
  <c r="C18" i="10"/>
  <c r="D18" i="10"/>
  <c r="F18" i="10" s="1"/>
  <c r="I18" i="10" s="1"/>
  <c r="E18" i="10"/>
  <c r="O18" i="10"/>
  <c r="P18" i="10"/>
  <c r="C19" i="10"/>
  <c r="D19" i="10"/>
  <c r="E19" i="10"/>
  <c r="O19" i="10"/>
  <c r="P19" i="10"/>
  <c r="F57" i="5" l="1"/>
  <c r="A9" i="5"/>
  <c r="A1" i="5"/>
  <c r="E57" i="5"/>
  <c r="B58" i="5" s="1"/>
  <c r="F19" i="10"/>
  <c r="I19" i="10" s="1"/>
  <c r="K19" i="10" s="1"/>
  <c r="L19" i="10" s="1"/>
  <c r="G42" i="5"/>
  <c r="D42" i="5"/>
  <c r="F66" i="5" s="1"/>
  <c r="F67" i="5" s="1"/>
  <c r="F42" i="5"/>
  <c r="K17" i="10"/>
  <c r="L17" i="10" s="1"/>
  <c r="J17" i="10"/>
  <c r="K16" i="10"/>
  <c r="L16" i="10" s="1"/>
  <c r="J16" i="10"/>
  <c r="J18" i="10"/>
  <c r="K18" i="10"/>
  <c r="L18" i="10" s="1"/>
  <c r="F58" i="5" l="1"/>
  <c r="F61" i="5" s="1"/>
  <c r="F63" i="5" s="1"/>
  <c r="F65" i="5" s="1"/>
  <c r="F69" i="5"/>
  <c r="J19" i="10"/>
  <c r="J20" i="10"/>
  <c r="F64" i="5" l="1"/>
  <c r="F6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Tove Dohn</author>
  </authors>
  <commentList>
    <comment ref="C4" authorId="0" shapeId="0" xr:uid="{F427D929-3B49-CC4A-8515-5905360C718B}">
      <text>
        <r>
          <rPr>
            <b/>
            <sz val="10"/>
            <color rgb="FF000000"/>
            <rFont val="Tahoma"/>
            <family val="2"/>
          </rPr>
          <t>Tove Dohn:</t>
        </r>
        <r>
          <rPr>
            <sz val="10"/>
            <color rgb="FF000000"/>
            <rFont val="Tahoma"/>
            <family val="2"/>
          </rPr>
          <t xml:space="preserve">
</t>
        </r>
        <r>
          <rPr>
            <sz val="10"/>
            <color rgb="FF000000"/>
            <rFont val="Geneva"/>
            <family val="2"/>
          </rPr>
          <t xml:space="preserve">Eksemplet her tager udgangspunkt i en ansat der har ændret beskæftigelsesgrad fra optjeningsåret til afviklingstidspunktet. Oplys først navn, optjeningsår, bg på ferietidspunktet, pensionsprc., hvilken mdr. der afvikles ferie, antal fferiedage der afvikles, evt. feriedage der ikke er optjent ret til løn i, og hvilken prc. feriefradraget beregnes med.
</t>
        </r>
      </text>
    </comment>
    <comment ref="G17" authorId="0" shapeId="0" xr:uid="{237D6B50-9839-7D4C-8BB9-8A7111BC05C8}">
      <text>
        <r>
          <rPr>
            <b/>
            <sz val="10"/>
            <color rgb="FF000000"/>
            <rFont val="Tahoma"/>
            <family val="2"/>
          </rPr>
          <t>Tove Dohn:</t>
        </r>
        <r>
          <rPr>
            <sz val="10"/>
            <color rgb="FF000000"/>
            <rFont val="Tahoma"/>
            <family val="2"/>
          </rPr>
          <t xml:space="preserve">
</t>
        </r>
        <r>
          <rPr>
            <sz val="10"/>
            <color rgb="FF000000"/>
            <rFont val="Geneva"/>
            <family val="2"/>
          </rPr>
          <t xml:space="preserve">Oplys her lønnen på ferietidspunktet, og kryds af om lønnen er pensionsberettiget og afhængig af beskæftigelsesgraden.
</t>
        </r>
      </text>
    </comment>
    <comment ref="F50" authorId="0" shapeId="0" xr:uid="{573732AF-A70A-5C4E-B5D0-0D1F2B9BC8B7}">
      <text>
        <r>
          <rPr>
            <b/>
            <sz val="10"/>
            <color rgb="FF000000"/>
            <rFont val="Tahoma"/>
            <family val="2"/>
          </rPr>
          <t>Tove Dohn:</t>
        </r>
        <r>
          <rPr>
            <sz val="10"/>
            <color rgb="FF000000"/>
            <rFont val="Tahoma"/>
            <family val="2"/>
          </rPr>
          <t xml:space="preserve">
</t>
        </r>
        <r>
          <rPr>
            <sz val="10"/>
            <color rgb="FF000000"/>
            <rFont val="Geneva"/>
            <family val="2"/>
          </rPr>
          <t xml:space="preserve">Oplys her vedr. optjeningsåret. Antal mdr. , og beskæftigelsesgrader.
</t>
        </r>
      </text>
    </comment>
    <comment ref="F65" authorId="0" shapeId="0" xr:uid="{E5369686-D515-D848-9D30-14B4B7C601E6}">
      <text>
        <r>
          <rPr>
            <b/>
            <sz val="10"/>
            <color rgb="FF000000"/>
            <rFont val="Tahoma"/>
            <family val="2"/>
          </rPr>
          <t>Tove Dohn:</t>
        </r>
        <r>
          <rPr>
            <sz val="10"/>
            <color rgb="FF000000"/>
            <rFont val="Tahoma"/>
            <family val="2"/>
          </rPr>
          <t xml:space="preserve">
</t>
        </r>
        <r>
          <rPr>
            <sz val="10"/>
            <color rgb="FF000000"/>
            <rFont val="Geneva"/>
            <family val="2"/>
          </rPr>
          <t xml:space="preserve">De røde tal viser hhv. feriedifference, feriefradrag og ændringer i pensionen.
</t>
        </r>
      </text>
    </comment>
  </commentList>
</comments>
</file>

<file path=xl/sharedStrings.xml><?xml version="1.0" encoding="utf-8"?>
<sst xmlns="http://schemas.openxmlformats.org/spreadsheetml/2006/main" count="224" uniqueCount="115">
  <si>
    <t>udligningstillæg</t>
  </si>
  <si>
    <t>antal mdr.</t>
  </si>
  <si>
    <t>BG</t>
  </si>
  <si>
    <t>Gennemsnit:</t>
  </si>
  <si>
    <t>faste ulempeydelser</t>
  </si>
  <si>
    <t>undervisningstilllæg</t>
  </si>
  <si>
    <t>gruppelivstillæg</t>
  </si>
  <si>
    <t>souscheftillæg</t>
  </si>
  <si>
    <t>decentrale funktionstillæg</t>
  </si>
  <si>
    <t>decentrale kvalifikationstillæg</t>
  </si>
  <si>
    <t>timer</t>
  </si>
  <si>
    <t>Antal</t>
  </si>
  <si>
    <t>lø/sø</t>
  </si>
  <si>
    <t>lø</t>
  </si>
  <si>
    <t>sø</t>
  </si>
  <si>
    <t>ma</t>
  </si>
  <si>
    <t>ti</t>
  </si>
  <si>
    <t>on</t>
  </si>
  <si>
    <t>to</t>
  </si>
  <si>
    <t>fr</t>
  </si>
  <si>
    <t>2008/09</t>
  </si>
  <si>
    <t>2009/10</t>
  </si>
  <si>
    <t>2010/11</t>
  </si>
  <si>
    <t>2011/12</t>
  </si>
  <si>
    <t>2012/13</t>
  </si>
  <si>
    <t>2013/14</t>
  </si>
  <si>
    <t>2014/15</t>
  </si>
  <si>
    <t>2015/16</t>
  </si>
  <si>
    <t>2016/17</t>
  </si>
  <si>
    <t>Forskydelige
helligdage</t>
  </si>
  <si>
    <t>Faste
søgne-
helligdage</t>
  </si>
  <si>
    <t>fri-</t>
  </si>
  <si>
    <t>fra</t>
  </si>
  <si>
    <t>til</t>
  </si>
  <si>
    <t>områdetillæg</t>
  </si>
  <si>
    <t>Ikke faste løndele er fx:</t>
  </si>
  <si>
    <t>søgne-</t>
  </si>
  <si>
    <t>skoleår</t>
  </si>
  <si>
    <t>Jule-</t>
  </si>
  <si>
    <t>dag</t>
  </si>
  <si>
    <t>2.</t>
  </si>
  <si>
    <t>Nytårs-</t>
  </si>
  <si>
    <t>Forsky-</t>
  </si>
  <si>
    <t>delige</t>
  </si>
  <si>
    <t>hellig-</t>
  </si>
  <si>
    <t>dage</t>
  </si>
  <si>
    <t>i alt:</t>
  </si>
  <si>
    <t>Skærtorsdag</t>
  </si>
  <si>
    <t>Langfredag</t>
  </si>
  <si>
    <t>2. Påskedag</t>
  </si>
  <si>
    <t>Kr.Himmelfartsdag</t>
  </si>
  <si>
    <t>Store Bededag</t>
  </si>
  <si>
    <t>2. Pinsedag</t>
  </si>
  <si>
    <t>Ferie-</t>
  </si>
  <si>
    <t>mandag-</t>
  </si>
  <si>
    <t>fredag</t>
  </si>
  <si>
    <t>Søgne-</t>
  </si>
  <si>
    <t>fridage</t>
  </si>
  <si>
    <t>i alt</t>
  </si>
  <si>
    <t>Skole-</t>
  </si>
  <si>
    <t>årets</t>
  </si>
  <si>
    <t>arbejds-</t>
  </si>
  <si>
    <t>Trin 4-tillæg</t>
  </si>
  <si>
    <t>OK13-tillæg</t>
  </si>
  <si>
    <t>Navn</t>
  </si>
  <si>
    <t>x</t>
  </si>
  <si>
    <t>Evt. andre tillæg</t>
  </si>
  <si>
    <t xml:space="preserve">OK08-tillæg </t>
  </si>
  <si>
    <t>Basisløn</t>
  </si>
  <si>
    <t>LÆRERE:</t>
  </si>
  <si>
    <t>PÆD/TAP</t>
  </si>
  <si>
    <t>Gruppeliv</t>
  </si>
  <si>
    <t>Evt. funktionstillæg</t>
  </si>
  <si>
    <t>Evt. kvalifikationstillæg</t>
  </si>
  <si>
    <t>Pensionsprocent</t>
  </si>
  <si>
    <t>Pension</t>
  </si>
  <si>
    <t>Bg. Afh. Pensionsdele</t>
  </si>
  <si>
    <t>Skalatrinsløn(pensionsgivende)</t>
  </si>
  <si>
    <t>Skalatrinsløn(ikke pensionsgivende)</t>
  </si>
  <si>
    <t>OK15-tillæg</t>
  </si>
  <si>
    <t>flydende tillæg til specialundervisning, ulempetillæg, weekendtillæg, engangstillæg mm.</t>
  </si>
  <si>
    <t>Ans. Periode</t>
  </si>
  <si>
    <t>dd/mm/åå</t>
  </si>
  <si>
    <t>mm dd/mm</t>
  </si>
  <si>
    <t>Feriefradrag og dif. Beregnes med :(skriv antal %)</t>
  </si>
  <si>
    <t>Ledere, lærere, bh.kl. Ledere, pæd. med BUPL OK, Ansatte med 3 F OK beregnes med 4,62 %. For alle andre personaler er det et aftale spørgsmål, omkring rettigheden til ferieaftalen 4,62 eller om ferieloven 4,8%</t>
  </si>
  <si>
    <t>For hvilken mdr. skal der beregnes ferieløn?</t>
  </si>
  <si>
    <t>85% = 0,85</t>
  </si>
  <si>
    <t>mdr. x BG</t>
  </si>
  <si>
    <t>optjente feriedage</t>
  </si>
  <si>
    <t>Antal feriedage uden lønret i denne mdr.</t>
  </si>
  <si>
    <t>Difference i beskæftigelsesgrad (ferietidspunkt kontra optjeningsåret)</t>
  </si>
  <si>
    <t>Fastpåregnelige løndele. Løndele der kommer til udbetaling hver mdr.</t>
  </si>
  <si>
    <t>IKKE pensionsberettiget feriefradrag for de fastpåregnelige løndele vedr. ej optjent lønret</t>
  </si>
  <si>
    <t>Pensionsberettiget feriefradrag for de fastpåregnelige løndele vedr. ej optjent lønret</t>
  </si>
  <si>
    <t>Pensionsberettiget feriedifference for de beskæftigelsesafhængige løndele</t>
  </si>
  <si>
    <t>IKKE pensionsberettiget feriedifference for de beskæftigelsesafhængige løndele</t>
  </si>
  <si>
    <t>Pensionsregulering for feriedifferencen(både medarbejderbidrag og arb.giverbidrag)</t>
  </si>
  <si>
    <t>Pensionsreguleringen for feriefradraget(Både medarbejderbidrag og arb.giverbidrag)</t>
  </si>
  <si>
    <t>Evt. Områdetillæg</t>
  </si>
  <si>
    <t>Gældende for følgende ferieår</t>
  </si>
  <si>
    <t>TAST KUN I DE GULE FELTER!</t>
  </si>
  <si>
    <t>Feriefradrag og feriedifference  på ferietidspunktet</t>
  </si>
  <si>
    <t>Beregning vedr. optjeningsåret.(Skriv årstallet - feks. 2016)</t>
  </si>
  <si>
    <t>Beskæftigelsesgrad på ferietidspunktet(81% = 0,81):</t>
  </si>
  <si>
    <t>Evt. løse timer/vikartimer - tast antal timer klokketimer i alt</t>
  </si>
  <si>
    <t>OK 18-tillæg</t>
  </si>
  <si>
    <t>Beate</t>
  </si>
  <si>
    <t>2019</t>
  </si>
  <si>
    <t>oktober</t>
  </si>
  <si>
    <t>Antal  særlige feriedage denne mdr.</t>
  </si>
  <si>
    <t>Antal særlige feriedage med lønret i denne mdr.</t>
  </si>
  <si>
    <t>Er lønnen pensions-pligtig?( sæt x)</t>
  </si>
  <si>
    <t>Er tillægget afh. Af bg.grad(sæt x)</t>
  </si>
  <si>
    <t>Bg. Afh. Løndele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</si>
</sst>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k_r_-;\-* #,##0.00\ _k_r_-;_-* &quot;-&quot;??\ _k_r_-;_-@_-"/>
    <numFmt numFmtId="165" formatCode="_(* #,##0_);_(* \(#,##0\);_(* &quot;-&quot;_);_(@_)"/>
    <numFmt numFmtId="166" formatCode="_(* #,##0.00_);_(* \(#,##0.00\);_(* &quot;-&quot;??_);_(@_)"/>
    <numFmt numFmtId="167" formatCode="_-&quot;kr.&quot;* #,##0_-;\-&quot;kr.&quot;* #,##0_-;_-&quot;kr.&quot;* &quot;-&quot;_-;_-@_-"/>
    <numFmt numFmtId="168" formatCode="_-&quot;kr.&quot;* #,##0.00_-;\-&quot;kr.&quot;* #,##0.00_-;_-&quot;kr.&quot;* &quot;-&quot;??_-;_-@_-"/>
    <numFmt numFmtId="169" formatCode="0.0"/>
    <numFmt numFmtId="170" formatCode="0.0000"/>
    <numFmt numFmtId="171" formatCode="#,##0.00&quot;kr.&quot;;\-#,##0.00&quot;kr.&quot;"/>
    <numFmt numFmtId="172" formatCode="#,##0.0"/>
    <numFmt numFmtId="173" formatCode="#,##0.0000"/>
    <numFmt numFmtId="174" formatCode="0.0%"/>
    <numFmt numFmtId="175" formatCode="000\-000"/>
  </numFmts>
  <fonts count="52">
    <font>
      <sz val="10"/>
      <name val="Geneva"/>
    </font>
    <font>
      <sz val="10"/>
      <name val="Helvetica"/>
      <family val="2"/>
    </font>
    <font>
      <sz val="12"/>
      <name val="Arial"/>
      <family val="2"/>
    </font>
    <font>
      <sz val="10"/>
      <name val="Geneva"/>
      <family val="2"/>
    </font>
    <font>
      <sz val="12"/>
      <name val="Helvetica"/>
      <family val="2"/>
    </font>
    <font>
      <sz val="14"/>
      <name val="Helvetica"/>
      <family val="2"/>
    </font>
    <font>
      <sz val="9"/>
      <name val="Helvetica"/>
      <family val="2"/>
    </font>
    <font>
      <sz val="12"/>
      <name val="Chicago"/>
    </font>
    <font>
      <sz val="10"/>
      <name val="Courier"/>
      <family val="1"/>
    </font>
    <font>
      <sz val="10"/>
      <name val="Arial"/>
      <family val="2"/>
    </font>
    <font>
      <sz val="8"/>
      <name val="Verdana"/>
      <family val="2"/>
    </font>
    <font>
      <b/>
      <sz val="10"/>
      <name val="Arial"/>
      <family val="2"/>
    </font>
    <font>
      <b/>
      <sz val="20"/>
      <name val="Arial"/>
      <family val="2"/>
    </font>
    <font>
      <b/>
      <sz val="12"/>
      <name val="Helvetica"/>
      <family val="2"/>
    </font>
    <font>
      <b/>
      <sz val="10"/>
      <color indexed="12"/>
      <name val="Arial"/>
      <family val="2"/>
    </font>
    <font>
      <b/>
      <sz val="10"/>
      <color indexed="10"/>
      <name val="Arial"/>
      <family val="2"/>
    </font>
    <font>
      <sz val="9"/>
      <color indexed="10"/>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14"/>
      <name val="Calibri"/>
      <family val="2"/>
    </font>
    <font>
      <i/>
      <sz val="12"/>
      <color indexed="23"/>
      <name val="Calibri"/>
      <family val="2"/>
    </font>
    <font>
      <sz val="12"/>
      <color indexed="17"/>
      <name val="Calibri"/>
      <family val="2"/>
    </font>
    <font>
      <sz val="12"/>
      <color indexed="62"/>
      <name val="Calibri"/>
      <family val="2"/>
    </font>
    <font>
      <b/>
      <sz val="12"/>
      <color indexed="9"/>
      <name val="Calibri"/>
      <family val="2"/>
    </font>
    <font>
      <sz val="12"/>
      <color indexed="60"/>
      <name val="Calibri"/>
      <family val="2"/>
    </font>
    <font>
      <b/>
      <sz val="12"/>
      <color indexed="63"/>
      <name val="Calibri"/>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b/>
      <sz val="18"/>
      <color indexed="56"/>
      <name val="Cambria"/>
      <family val="2"/>
    </font>
    <font>
      <b/>
      <sz val="12"/>
      <color indexed="8"/>
      <name val="Calibri"/>
      <family val="2"/>
    </font>
    <font>
      <sz val="11"/>
      <name val="Arial"/>
      <family val="2"/>
    </font>
    <font>
      <sz val="12"/>
      <color indexed="12"/>
      <name val="Arial"/>
      <family val="2"/>
    </font>
    <font>
      <b/>
      <sz val="12"/>
      <color indexed="12"/>
      <name val="Arial"/>
      <family val="2"/>
    </font>
    <font>
      <i/>
      <sz val="12"/>
      <name val="Arial"/>
      <family val="2"/>
    </font>
    <font>
      <b/>
      <sz val="14"/>
      <name val="Arial"/>
      <family val="2"/>
    </font>
    <font>
      <sz val="14"/>
      <name val="Arial"/>
      <family val="2"/>
    </font>
    <font>
      <b/>
      <sz val="12"/>
      <color theme="1"/>
      <name val="Arial"/>
      <family val="2"/>
    </font>
    <font>
      <sz val="12"/>
      <color theme="1"/>
      <name val="Arial"/>
      <family val="2"/>
    </font>
    <font>
      <sz val="12"/>
      <color rgb="FFC00000"/>
      <name val="Arial"/>
      <family val="2"/>
    </font>
    <font>
      <b/>
      <sz val="12"/>
      <color rgb="FFC00000"/>
      <name val="Arial"/>
      <family val="2"/>
    </font>
    <font>
      <sz val="10"/>
      <color rgb="FFC00000"/>
      <name val="Arial"/>
      <family val="2"/>
    </font>
    <font>
      <sz val="10"/>
      <color rgb="FF0A39D5"/>
      <name val="Arial"/>
      <family val="2"/>
    </font>
    <font>
      <sz val="12"/>
      <color rgb="FF0A39D5"/>
      <name val="Arial"/>
      <family val="2"/>
    </font>
    <font>
      <u/>
      <sz val="10"/>
      <color theme="10"/>
      <name val="Geneva"/>
      <family val="2"/>
    </font>
    <font>
      <u/>
      <sz val="10"/>
      <color theme="11"/>
      <name val="Geneva"/>
      <family val="2"/>
    </font>
    <font>
      <sz val="10"/>
      <color rgb="FF000000"/>
      <name val="Tahoma"/>
      <family val="2"/>
    </font>
    <font>
      <b/>
      <sz val="10"/>
      <color rgb="FF000000"/>
      <name val="Tahoma"/>
      <family val="2"/>
    </font>
    <font>
      <sz val="10"/>
      <color rgb="FF000000"/>
      <name val="Geneva"/>
      <family val="2"/>
    </font>
  </fonts>
  <fills count="31">
    <fill>
      <patternFill patternType="none"/>
    </fill>
    <fill>
      <patternFill patternType="gray125"/>
    </fill>
    <fill>
      <patternFill patternType="solid">
        <fgColor indexed="43"/>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43"/>
      </patternFill>
    </fill>
    <fill>
      <patternFill patternType="gray0625"/>
    </fill>
    <fill>
      <patternFill patternType="solid">
        <fgColor indexed="45"/>
      </patternFill>
    </fill>
    <fill>
      <patternFill patternType="solid">
        <fgColor indexed="42"/>
      </patternFill>
    </fill>
    <fill>
      <patternFill patternType="solid">
        <fgColor indexed="55"/>
      </patternFill>
    </fill>
    <fill>
      <patternFill patternType="solid">
        <fgColor indexed="62"/>
      </patternFill>
    </fill>
    <fill>
      <patternFill patternType="solid">
        <fgColor indexed="19"/>
      </patternFill>
    </fill>
    <fill>
      <patternFill patternType="solid">
        <fgColor indexed="36"/>
      </patternFill>
    </fill>
    <fill>
      <patternFill patternType="solid">
        <fgColor indexed="26"/>
      </patternFill>
    </fill>
    <fill>
      <patternFill patternType="lightGray"/>
    </fill>
    <fill>
      <patternFill patternType="solid">
        <fgColor rgb="FFFFFB8D"/>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000000"/>
        <bgColor indexed="64"/>
      </patternFill>
    </fill>
  </fills>
  <borders count="80">
    <border>
      <left/>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hair">
        <color auto="1"/>
      </left>
      <right style="hair">
        <color auto="1"/>
      </right>
      <top/>
      <bottom/>
      <diagonal/>
    </border>
    <border>
      <left style="hair">
        <color auto="1"/>
      </left>
      <right/>
      <top/>
      <bottom/>
      <diagonal/>
    </border>
    <border>
      <left/>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style="hair">
        <color auto="1"/>
      </right>
      <top style="hair">
        <color auto="1"/>
      </top>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style="hair">
        <color auto="1"/>
      </right>
      <top style="thin">
        <color auto="1"/>
      </top>
      <bottom style="thin">
        <color auto="1"/>
      </bottom>
      <diagonal/>
    </border>
    <border>
      <left/>
      <right/>
      <top style="medium">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thin">
        <color auto="1"/>
      </bottom>
      <diagonal/>
    </border>
    <border>
      <left/>
      <right style="hair">
        <color auto="1"/>
      </right>
      <top style="hair">
        <color auto="1"/>
      </top>
      <bottom style="thin">
        <color auto="1"/>
      </bottom>
      <diagonal/>
    </border>
  </borders>
  <cellStyleXfs count="6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4" borderId="0" applyNumberFormat="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3" fillId="14" borderId="35" applyNumberFormat="0" applyFont="0" applyAlignment="0" applyProtection="0"/>
    <xf numFmtId="0" fontId="20" fillId="12" borderId="36" applyNumberFormat="0" applyAlignment="0" applyProtection="0"/>
    <xf numFmtId="0" fontId="7" fillId="0" borderId="37" applyNumberFormat="0" applyFill="0" applyBorder="0" applyProtection="0">
      <alignment horizontal="center"/>
    </xf>
    <xf numFmtId="165" fontId="4" fillId="0" borderId="0" applyFont="0" applyFill="0" applyBorder="0" applyAlignment="0" applyProtection="0"/>
    <xf numFmtId="166" fontId="4" fillId="0" borderId="0" applyFont="0" applyFill="0" applyBorder="0" applyAlignment="0" applyProtection="0"/>
    <xf numFmtId="3" fontId="8" fillId="15" borderId="38" applyFill="0" applyBorder="0" applyAlignment="0">
      <alignment horizontal="center"/>
    </xf>
    <xf numFmtId="167" fontId="4" fillId="0" borderId="0" applyFont="0" applyFill="0" applyBorder="0" applyAlignment="0" applyProtection="0"/>
    <xf numFmtId="168" fontId="4" fillId="0" borderId="0" applyFont="0" applyFill="0" applyBorder="0" applyAlignment="0" applyProtection="0"/>
    <xf numFmtId="0" fontId="21" fillId="16" borderId="0" applyNumberFormat="0" applyBorder="0" applyAlignment="0" applyProtection="0"/>
    <xf numFmtId="0" fontId="22" fillId="0" borderId="0" applyNumberFormat="0" applyFill="0" applyBorder="0" applyAlignment="0" applyProtection="0"/>
    <xf numFmtId="0" fontId="23" fillId="17" borderId="0" applyNumberFormat="0" applyBorder="0" applyAlignment="0" applyProtection="0"/>
    <xf numFmtId="0" fontId="24" fillId="4" borderId="36" applyNumberFormat="0" applyAlignment="0" applyProtection="0"/>
    <xf numFmtId="3" fontId="1" fillId="0" borderId="0" applyFont="0" applyFill="0" applyBorder="0" applyAlignment="0" applyProtection="0"/>
    <xf numFmtId="172" fontId="1" fillId="0" borderId="0" applyFont="0" applyFill="0" applyBorder="0" applyAlignment="0" applyProtection="0"/>
    <xf numFmtId="4" fontId="1" fillId="0" borderId="0" applyFont="0" applyFill="0" applyBorder="0" applyAlignment="0" applyProtection="0"/>
    <xf numFmtId="173" fontId="1" fillId="0" borderId="0" applyFont="0" applyFill="0" applyBorder="0" applyAlignment="0" applyProtection="0"/>
    <xf numFmtId="0" fontId="25" fillId="18" borderId="39" applyNumberFormat="0" applyAlignment="0" applyProtection="0"/>
    <xf numFmtId="171" fontId="1" fillId="0" borderId="0" applyFon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26" fillId="22" borderId="0" applyNumberFormat="0" applyBorder="0" applyAlignment="0" applyProtection="0"/>
    <xf numFmtId="0" fontId="4" fillId="0" borderId="0"/>
    <xf numFmtId="0" fontId="27" fillId="12" borderId="40" applyNumberFormat="0" applyAlignment="0" applyProtection="0"/>
    <xf numFmtId="0" fontId="28" fillId="0" borderId="41" applyNumberFormat="0" applyFill="0" applyAlignment="0" applyProtection="0"/>
    <xf numFmtId="0" fontId="29" fillId="0" borderId="42" applyNumberFormat="0" applyFill="0" applyAlignment="0" applyProtection="0"/>
    <xf numFmtId="0" fontId="30" fillId="0" borderId="43"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0" fontId="1" fillId="0" borderId="0" applyFont="0" applyFill="0" applyBorder="0" applyAlignment="0" applyProtection="0"/>
    <xf numFmtId="0" fontId="31" fillId="0" borderId="44" applyNumberFormat="0" applyFill="0" applyAlignment="0" applyProtection="0"/>
    <xf numFmtId="175" fontId="1" fillId="0" borderId="0" applyFont="0" applyFill="0" applyBorder="0" applyProtection="0">
      <alignment horizontal="center"/>
    </xf>
    <xf numFmtId="0" fontId="9" fillId="23" borderId="0" applyNumberFormat="0" applyFont="0" applyBorder="0" applyAlignment="0" applyProtection="0"/>
    <xf numFmtId="0" fontId="32" fillId="0" borderId="0" applyNumberFormat="0" applyFill="0" applyBorder="0" applyAlignment="0" applyProtection="0"/>
    <xf numFmtId="0" fontId="33" fillId="0" borderId="45" applyNumberFormat="0" applyFill="0" applyAlignment="0" applyProtection="0"/>
    <xf numFmtId="164" fontId="3"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18">
    <xf numFmtId="0" fontId="0" fillId="0" borderId="0" xfId="0"/>
    <xf numFmtId="0" fontId="9" fillId="0" borderId="0" xfId="0" applyFont="1"/>
    <xf numFmtId="0" fontId="9" fillId="0" borderId="0" xfId="0" applyFont="1" applyAlignment="1">
      <alignment horizontal="right"/>
    </xf>
    <xf numFmtId="0" fontId="9" fillId="0" borderId="0" xfId="0" applyFont="1" applyAlignment="1">
      <alignment horizontal="left"/>
    </xf>
    <xf numFmtId="0" fontId="4" fillId="0" borderId="0" xfId="0" applyFont="1"/>
    <xf numFmtId="0" fontId="9" fillId="0" borderId="29" xfId="0" applyFont="1" applyBorder="1" applyAlignment="1">
      <alignment horizontal="center" wrapText="1"/>
    </xf>
    <xf numFmtId="0" fontId="9" fillId="0" borderId="23" xfId="0" applyFont="1" applyBorder="1" applyAlignment="1">
      <alignment horizontal="center" wrapText="1"/>
    </xf>
    <xf numFmtId="0" fontId="9" fillId="0" borderId="26" xfId="0" applyFont="1" applyBorder="1" applyAlignment="1">
      <alignment horizontal="center" wrapText="1"/>
    </xf>
    <xf numFmtId="0" fontId="9" fillId="0" borderId="29" xfId="0" applyFont="1" applyBorder="1" applyAlignment="1">
      <alignment wrapText="1"/>
    </xf>
    <xf numFmtId="0" fontId="9" fillId="0" borderId="23" xfId="0" applyFont="1" applyBorder="1" applyAlignment="1">
      <alignment wrapText="1"/>
    </xf>
    <xf numFmtId="0" fontId="9" fillId="0" borderId="26" xfId="0" applyFont="1" applyBorder="1" applyAlignment="1">
      <alignment wrapText="1"/>
    </xf>
    <xf numFmtId="0" fontId="0" fillId="0" borderId="23" xfId="0" applyBorder="1" applyAlignment="1">
      <alignment horizontal="center" wrapText="1"/>
    </xf>
    <xf numFmtId="0" fontId="9" fillId="0" borderId="30"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9" fillId="0" borderId="17" xfId="0" applyFont="1" applyBorder="1"/>
    <xf numFmtId="16" fontId="9" fillId="0" borderId="17" xfId="0" applyNumberFormat="1" applyFont="1" applyBorder="1"/>
    <xf numFmtId="0" fontId="9" fillId="0" borderId="33" xfId="0" applyFont="1" applyBorder="1"/>
    <xf numFmtId="0" fontId="4" fillId="0" borderId="17" xfId="0" applyFont="1" applyBorder="1"/>
    <xf numFmtId="0" fontId="4" fillId="0" borderId="17" xfId="0" applyFont="1" applyBorder="1" applyAlignment="1">
      <alignment horizontal="center"/>
    </xf>
    <xf numFmtId="0" fontId="4" fillId="0" borderId="33" xfId="0" applyFont="1" applyBorder="1" applyAlignment="1">
      <alignment horizontal="center"/>
    </xf>
    <xf numFmtId="0" fontId="13" fillId="0" borderId="0" xfId="0" applyFont="1"/>
    <xf numFmtId="0" fontId="13" fillId="0" borderId="17" xfId="0" applyFont="1" applyBorder="1"/>
    <xf numFmtId="0" fontId="13" fillId="0" borderId="17" xfId="0" applyFont="1" applyBorder="1" applyAlignment="1">
      <alignment horizontal="center"/>
    </xf>
    <xf numFmtId="0" fontId="13" fillId="0" borderId="33" xfId="0" applyFont="1" applyBorder="1" applyAlignment="1">
      <alignment horizontal="center"/>
    </xf>
    <xf numFmtId="0" fontId="4" fillId="0" borderId="0" xfId="0" applyFont="1" applyAlignment="1">
      <alignment horizontal="right"/>
    </xf>
    <xf numFmtId="169" fontId="4" fillId="0" borderId="34" xfId="0" applyNumberFormat="1" applyFont="1" applyBorder="1" applyAlignment="1">
      <alignment horizontal="center"/>
    </xf>
    <xf numFmtId="0" fontId="4" fillId="0" borderId="17" xfId="48" applyBorder="1" applyAlignment="1">
      <alignment horizontal="center"/>
    </xf>
    <xf numFmtId="0" fontId="4" fillId="0" borderId="33" xfId="48" applyBorder="1" applyAlignment="1">
      <alignment horizontal="center"/>
    </xf>
    <xf numFmtId="0" fontId="4" fillId="0" borderId="17" xfId="48" applyBorder="1"/>
    <xf numFmtId="0" fontId="4" fillId="0" borderId="0" xfId="48"/>
    <xf numFmtId="16" fontId="9" fillId="0" borderId="17" xfId="0" applyNumberFormat="1" applyFont="1" applyBorder="1" applyAlignment="1">
      <alignment horizontal="center"/>
    </xf>
    <xf numFmtId="0" fontId="15" fillId="0" borderId="0" xfId="0" applyFont="1"/>
    <xf numFmtId="0" fontId="16" fillId="0" borderId="0" xfId="0" applyFont="1"/>
    <xf numFmtId="4" fontId="2" fillId="25" borderId="13" xfId="0" applyNumberFormat="1" applyFont="1" applyFill="1" applyBorder="1" applyAlignment="1">
      <alignment horizontal="center"/>
    </xf>
    <xf numFmtId="4" fontId="9" fillId="25" borderId="14" xfId="0" applyNumberFormat="1" applyFont="1" applyFill="1" applyBorder="1"/>
    <xf numFmtId="4" fontId="9" fillId="25" borderId="13" xfId="0" applyNumberFormat="1" applyFont="1" applyFill="1" applyBorder="1" applyAlignment="1">
      <alignment horizontal="right"/>
    </xf>
    <xf numFmtId="0" fontId="39" fillId="0" borderId="0" xfId="0" applyFont="1" applyAlignment="1"/>
    <xf numFmtId="0" fontId="39" fillId="26" borderId="0" xfId="0" applyFont="1" applyFill="1" applyBorder="1" applyAlignment="1">
      <alignment horizontal="center" wrapText="1"/>
    </xf>
    <xf numFmtId="0" fontId="9" fillId="26" borderId="13" xfId="0" applyFont="1" applyFill="1" applyBorder="1" applyAlignment="1">
      <alignment horizontal="center" wrapText="1"/>
    </xf>
    <xf numFmtId="4" fontId="9" fillId="27" borderId="34" xfId="0" applyNumberFormat="1" applyFont="1" applyFill="1" applyBorder="1" applyAlignment="1">
      <alignment horizontal="right"/>
    </xf>
    <xf numFmtId="0" fontId="38" fillId="25" borderId="13" xfId="0" applyFont="1" applyFill="1" applyBorder="1" applyAlignment="1">
      <alignment horizontal="center"/>
    </xf>
    <xf numFmtId="0" fontId="9" fillId="28" borderId="13" xfId="0" applyFont="1" applyFill="1" applyBorder="1" applyAlignment="1">
      <alignment horizontal="center"/>
    </xf>
    <xf numFmtId="4" fontId="9" fillId="28" borderId="34" xfId="0" applyNumberFormat="1" applyFont="1" applyFill="1" applyBorder="1" applyAlignment="1">
      <alignment horizontal="right"/>
    </xf>
    <xf numFmtId="4" fontId="2" fillId="28" borderId="13" xfId="0" applyNumberFormat="1" applyFont="1" applyFill="1" applyBorder="1" applyAlignment="1">
      <alignment horizontal="center"/>
    </xf>
    <xf numFmtId="164" fontId="9" fillId="28" borderId="13" xfId="62" applyFont="1" applyFill="1" applyBorder="1" applyAlignment="1">
      <alignment horizontal="right"/>
    </xf>
    <xf numFmtId="4" fontId="9" fillId="27" borderId="46" xfId="0" applyNumberFormat="1" applyFont="1" applyFill="1" applyBorder="1" applyAlignment="1">
      <alignment horizontal="right"/>
    </xf>
    <xf numFmtId="0" fontId="2" fillId="27" borderId="14" xfId="0" applyFont="1" applyFill="1" applyBorder="1" applyAlignment="1">
      <alignment horizontal="center"/>
    </xf>
    <xf numFmtId="0" fontId="2" fillId="27" borderId="34" xfId="0" applyFont="1" applyFill="1" applyBorder="1" applyAlignment="1">
      <alignment horizontal="center"/>
    </xf>
    <xf numFmtId="170" fontId="41" fillId="27" borderId="16" xfId="0" applyNumberFormat="1" applyFont="1" applyFill="1" applyBorder="1"/>
    <xf numFmtId="170" fontId="41" fillId="27" borderId="18" xfId="0" applyNumberFormat="1" applyFont="1" applyFill="1" applyBorder="1"/>
    <xf numFmtId="15" fontId="41" fillId="27" borderId="37" xfId="0" applyNumberFormat="1" applyFont="1" applyFill="1" applyBorder="1" applyAlignment="1"/>
    <xf numFmtId="13" fontId="41" fillId="27" borderId="20" xfId="0" applyNumberFormat="1" applyFont="1" applyFill="1" applyBorder="1" applyAlignment="1">
      <alignment horizontal="center"/>
    </xf>
    <xf numFmtId="170" fontId="41" fillId="27" borderId="21" xfId="0" applyNumberFormat="1" applyFont="1" applyFill="1" applyBorder="1" applyAlignment="1">
      <alignment horizontal="center"/>
    </xf>
    <xf numFmtId="170" fontId="41" fillId="27" borderId="12" xfId="0" applyNumberFormat="1" applyFont="1" applyFill="1" applyBorder="1"/>
    <xf numFmtId="0" fontId="9" fillId="0" borderId="13" xfId="0" applyFont="1" applyBorder="1" applyAlignment="1">
      <alignment horizontal="center" vertical="center" wrapText="1"/>
    </xf>
    <xf numFmtId="0" fontId="9" fillId="26" borderId="13" xfId="0" applyFont="1" applyFill="1" applyBorder="1" applyAlignment="1">
      <alignment horizontal="center" vertical="center"/>
    </xf>
    <xf numFmtId="0" fontId="9" fillId="26" borderId="13" xfId="0" applyFont="1" applyFill="1" applyBorder="1" applyAlignment="1">
      <alignment horizontal="center" vertical="center" wrapText="1"/>
    </xf>
    <xf numFmtId="0" fontId="37" fillId="0" borderId="0" xfId="0" applyFont="1"/>
    <xf numFmtId="0" fontId="38" fillId="0" borderId="53" xfId="0" applyFont="1" applyBorder="1" applyAlignment="1"/>
    <xf numFmtId="0" fontId="9" fillId="26" borderId="22" xfId="0" applyFont="1" applyFill="1" applyBorder="1" applyAlignment="1">
      <alignment horizontal="center" vertical="center" wrapText="1"/>
    </xf>
    <xf numFmtId="0" fontId="9" fillId="0" borderId="53" xfId="0" applyFont="1" applyBorder="1" applyAlignment="1"/>
    <xf numFmtId="4" fontId="9" fillId="27" borderId="4" xfId="0" applyNumberFormat="1" applyFont="1" applyFill="1" applyBorder="1"/>
    <xf numFmtId="4" fontId="9" fillId="28" borderId="4" xfId="0" applyNumberFormat="1" applyFont="1" applyFill="1" applyBorder="1"/>
    <xf numFmtId="4" fontId="9" fillId="25" borderId="22" xfId="0" applyNumberFormat="1" applyFont="1" applyFill="1" applyBorder="1" applyAlignment="1">
      <alignment horizontal="right"/>
    </xf>
    <xf numFmtId="0" fontId="9" fillId="0" borderId="55" xfId="0" applyFont="1" applyBorder="1" applyAlignment="1"/>
    <xf numFmtId="0" fontId="9" fillId="0" borderId="59" xfId="0" applyFont="1" applyBorder="1" applyAlignment="1"/>
    <xf numFmtId="164" fontId="9" fillId="0" borderId="60" xfId="0" applyNumberFormat="1" applyFont="1" applyBorder="1" applyAlignment="1">
      <alignment horizontal="right"/>
    </xf>
    <xf numFmtId="4" fontId="14" fillId="28" borderId="60" xfId="0" applyNumberFormat="1" applyFont="1" applyFill="1" applyBorder="1"/>
    <xf numFmtId="4" fontId="14" fillId="0" borderId="60" xfId="0" applyNumberFormat="1" applyFont="1" applyBorder="1"/>
    <xf numFmtId="4" fontId="14" fillId="0" borderId="6" xfId="0" applyNumberFormat="1" applyFont="1" applyBorder="1"/>
    <xf numFmtId="0" fontId="2" fillId="27" borderId="61" xfId="0" applyFont="1" applyFill="1" applyBorder="1" applyAlignment="1">
      <alignment horizontal="center"/>
    </xf>
    <xf numFmtId="0" fontId="2" fillId="27" borderId="63" xfId="0" applyFont="1" applyFill="1" applyBorder="1" applyAlignment="1">
      <alignment horizontal="center"/>
    </xf>
    <xf numFmtId="170" fontId="41" fillId="27" borderId="65" xfId="0" applyNumberFormat="1" applyFont="1" applyFill="1" applyBorder="1"/>
    <xf numFmtId="170" fontId="41" fillId="27" borderId="67" xfId="0" applyNumberFormat="1" applyFont="1" applyFill="1" applyBorder="1"/>
    <xf numFmtId="2" fontId="41" fillId="27" borderId="67" xfId="0" applyNumberFormat="1" applyFont="1" applyFill="1" applyBorder="1"/>
    <xf numFmtId="15" fontId="2" fillId="27" borderId="53" xfId="0" applyNumberFormat="1" applyFont="1" applyFill="1" applyBorder="1" applyAlignment="1"/>
    <xf numFmtId="2" fontId="41" fillId="27" borderId="54" xfId="0" applyNumberFormat="1" applyFont="1" applyFill="1" applyBorder="1"/>
    <xf numFmtId="0" fontId="2" fillId="27" borderId="5" xfId="0" applyFont="1" applyFill="1" applyBorder="1"/>
    <xf numFmtId="0" fontId="35" fillId="27" borderId="69" xfId="0" applyFont="1" applyFill="1" applyBorder="1"/>
    <xf numFmtId="0" fontId="2" fillId="27" borderId="69" xfId="0" applyFont="1" applyFill="1" applyBorder="1"/>
    <xf numFmtId="170" fontId="36" fillId="27" borderId="69" xfId="0" applyNumberFormat="1" applyFont="1" applyFill="1" applyBorder="1" applyAlignment="1">
      <alignment horizontal="center"/>
    </xf>
    <xf numFmtId="0" fontId="41" fillId="27" borderId="69" xfId="0" applyFont="1" applyFill="1" applyBorder="1"/>
    <xf numFmtId="170" fontId="40" fillId="27" borderId="56" xfId="0" applyNumberFormat="1" applyFont="1" applyFill="1" applyBorder="1" applyAlignment="1">
      <alignment horizontal="center"/>
    </xf>
    <xf numFmtId="170" fontId="2" fillId="27" borderId="2" xfId="0" applyNumberFormat="1" applyFont="1" applyFill="1" applyBorder="1" applyAlignment="1">
      <alignment horizontal="right"/>
    </xf>
    <xf numFmtId="170" fontId="2" fillId="27" borderId="22" xfId="0" applyNumberFormat="1" applyFont="1" applyFill="1" applyBorder="1" applyAlignment="1">
      <alignment horizontal="right"/>
    </xf>
    <xf numFmtId="170" fontId="34" fillId="27" borderId="62" xfId="0" applyNumberFormat="1" applyFont="1" applyFill="1" applyBorder="1" applyAlignment="1">
      <alignment horizontal="right"/>
    </xf>
    <xf numFmtId="2" fontId="43" fillId="27" borderId="2" xfId="0" applyNumberFormat="1" applyFont="1" applyFill="1" applyBorder="1" applyAlignment="1">
      <alignment horizontal="right"/>
    </xf>
    <xf numFmtId="2" fontId="43" fillId="27" borderId="22" xfId="0" applyNumberFormat="1" applyFont="1" applyFill="1" applyBorder="1" applyAlignment="1">
      <alignment horizontal="right"/>
    </xf>
    <xf numFmtId="4" fontId="43" fillId="27" borderId="22" xfId="0" applyNumberFormat="1" applyFont="1" applyFill="1" applyBorder="1" applyAlignment="1">
      <alignment horizontal="right"/>
    </xf>
    <xf numFmtId="4" fontId="43" fillId="27" borderId="74" xfId="0" applyNumberFormat="1" applyFont="1" applyFill="1" applyBorder="1" applyAlignment="1">
      <alignment horizontal="right"/>
    </xf>
    <xf numFmtId="0" fontId="44" fillId="0" borderId="0" xfId="0" applyFont="1"/>
    <xf numFmtId="0" fontId="42" fillId="0" borderId="0" xfId="0" applyFont="1" applyAlignment="1">
      <alignment horizontal="center" wrapText="1"/>
    </xf>
    <xf numFmtId="0" fontId="42" fillId="0" borderId="0" xfId="0" applyFont="1"/>
    <xf numFmtId="0" fontId="42" fillId="0" borderId="0" xfId="0" applyFont="1" applyBorder="1" applyAlignment="1"/>
    <xf numFmtId="0" fontId="43" fillId="27" borderId="72" xfId="0" applyFont="1" applyFill="1" applyBorder="1" applyAlignment="1">
      <alignment horizontal="left"/>
    </xf>
    <xf numFmtId="0" fontId="43" fillId="27" borderId="13" xfId="0" applyFont="1" applyFill="1" applyBorder="1" applyAlignment="1">
      <alignment horizontal="left"/>
    </xf>
    <xf numFmtId="0" fontId="45" fillId="0" borderId="0" xfId="0" applyFont="1"/>
    <xf numFmtId="0" fontId="46" fillId="0" borderId="0" xfId="0" applyFont="1"/>
    <xf numFmtId="0" fontId="46" fillId="0" borderId="0" xfId="0" applyFont="1" applyAlignment="1">
      <alignment horizontal="center" wrapText="1"/>
    </xf>
    <xf numFmtId="0" fontId="9" fillId="30" borderId="13" xfId="0" applyFont="1" applyFill="1" applyBorder="1" applyAlignment="1">
      <alignment horizontal="center"/>
    </xf>
    <xf numFmtId="164" fontId="9" fillId="2" borderId="34" xfId="62" applyFont="1" applyFill="1" applyBorder="1" applyProtection="1">
      <protection locked="0"/>
    </xf>
    <xf numFmtId="164" fontId="9" fillId="2" borderId="13" xfId="62" applyFont="1" applyFill="1" applyBorder="1" applyProtection="1">
      <protection locked="0"/>
    </xf>
    <xf numFmtId="164" fontId="9" fillId="2" borderId="14" xfId="62" applyFont="1" applyFill="1" applyBorder="1" applyProtection="1">
      <protection locked="0"/>
    </xf>
    <xf numFmtId="0" fontId="9" fillId="24" borderId="13" xfId="0" applyFont="1" applyFill="1" applyBorder="1" applyAlignment="1" applyProtection="1">
      <alignment horizontal="center"/>
      <protection locked="0"/>
    </xf>
    <xf numFmtId="4" fontId="2" fillId="24" borderId="34" xfId="0" applyNumberFormat="1" applyFont="1" applyFill="1" applyBorder="1" applyAlignment="1" applyProtection="1">
      <alignment horizontal="center"/>
      <protection locked="0"/>
    </xf>
    <xf numFmtId="164" fontId="9" fillId="2" borderId="34" xfId="62" applyFont="1" applyFill="1" applyBorder="1" applyAlignment="1" applyProtection="1">
      <alignment horizontal="right"/>
      <protection locked="0"/>
    </xf>
    <xf numFmtId="164" fontId="9" fillId="2" borderId="13" xfId="62" applyFont="1" applyFill="1" applyBorder="1" applyAlignment="1" applyProtection="1">
      <alignment horizontal="right"/>
      <protection locked="0"/>
    </xf>
    <xf numFmtId="4" fontId="2" fillId="24" borderId="13" xfId="0" applyNumberFormat="1" applyFont="1" applyFill="1" applyBorder="1" applyAlignment="1" applyProtection="1">
      <alignment horizontal="center"/>
      <protection locked="0"/>
    </xf>
    <xf numFmtId="164" fontId="9" fillId="2" borderId="46" xfId="62" applyFont="1" applyFill="1" applyBorder="1" applyAlignment="1" applyProtection="1">
      <alignment horizontal="right"/>
      <protection locked="0"/>
    </xf>
    <xf numFmtId="15" fontId="2" fillId="2" borderId="64" xfId="0" applyNumberFormat="1" applyFont="1" applyFill="1" applyBorder="1" applyAlignment="1" applyProtection="1">
      <alignment horizontal="center"/>
      <protection locked="0"/>
    </xf>
    <xf numFmtId="15" fontId="2" fillId="2" borderId="15" xfId="0" applyNumberFormat="1" applyFont="1" applyFill="1" applyBorder="1" applyAlignment="1" applyProtection="1">
      <alignment horizontal="center"/>
      <protection locked="0"/>
    </xf>
    <xf numFmtId="13" fontId="2" fillId="2" borderId="15" xfId="0" applyNumberFormat="1" applyFont="1" applyFill="1" applyBorder="1" applyAlignment="1" applyProtection="1">
      <alignment horizontal="center"/>
      <protection locked="0"/>
    </xf>
    <xf numFmtId="170" fontId="2" fillId="2" borderId="15" xfId="0" applyNumberFormat="1" applyFont="1" applyFill="1" applyBorder="1" applyAlignment="1" applyProtection="1">
      <alignment horizontal="center"/>
      <protection locked="0"/>
    </xf>
    <xf numFmtId="15" fontId="2" fillId="2" borderId="66" xfId="0" applyNumberFormat="1" applyFont="1" applyFill="1" applyBorder="1" applyAlignment="1" applyProtection="1">
      <alignment horizontal="center"/>
      <protection locked="0"/>
    </xf>
    <xf numFmtId="15" fontId="2" fillId="2" borderId="17" xfId="0" applyNumberFormat="1" applyFont="1" applyFill="1" applyBorder="1" applyAlignment="1" applyProtection="1">
      <alignment horizontal="center"/>
      <protection locked="0"/>
    </xf>
    <xf numFmtId="13" fontId="2" fillId="2" borderId="17" xfId="0" applyNumberFormat="1" applyFont="1" applyFill="1" applyBorder="1" applyAlignment="1" applyProtection="1">
      <alignment horizontal="center"/>
      <protection locked="0"/>
    </xf>
    <xf numFmtId="170" fontId="2" fillId="2" borderId="17" xfId="0" applyNumberFormat="1" applyFont="1" applyFill="1" applyBorder="1" applyAlignment="1" applyProtection="1">
      <alignment horizontal="center"/>
      <protection locked="0"/>
    </xf>
    <xf numFmtId="15" fontId="2" fillId="2" borderId="68" xfId="0" applyNumberFormat="1" applyFont="1" applyFill="1" applyBorder="1" applyAlignment="1" applyProtection="1">
      <alignment horizontal="center"/>
      <protection locked="0"/>
    </xf>
    <xf numFmtId="15" fontId="2" fillId="2" borderId="29" xfId="0" applyNumberFormat="1" applyFont="1" applyFill="1" applyBorder="1" applyAlignment="1" applyProtection="1">
      <alignment horizontal="center"/>
      <protection locked="0"/>
    </xf>
    <xf numFmtId="13" fontId="2" fillId="2" borderId="29" xfId="0" applyNumberFormat="1" applyFont="1" applyFill="1" applyBorder="1" applyAlignment="1" applyProtection="1">
      <alignment horizontal="center"/>
      <protection locked="0"/>
    </xf>
    <xf numFmtId="170" fontId="2" fillId="2" borderId="29" xfId="0" applyNumberFormat="1" applyFont="1" applyFill="1" applyBorder="1" applyAlignment="1" applyProtection="1">
      <alignment horizontal="center"/>
      <protection locked="0"/>
    </xf>
    <xf numFmtId="170" fontId="2" fillId="2" borderId="19" xfId="0" applyNumberFormat="1" applyFont="1" applyFill="1" applyBorder="1" applyAlignment="1" applyProtection="1">
      <alignment horizontal="center"/>
      <protection locked="0"/>
    </xf>
    <xf numFmtId="164" fontId="9" fillId="2" borderId="46" xfId="62" applyFont="1" applyFill="1" applyBorder="1" applyProtection="1">
      <protection locked="0"/>
    </xf>
    <xf numFmtId="2" fontId="43" fillId="26" borderId="0" xfId="0" applyNumberFormat="1" applyFont="1" applyFill="1" applyBorder="1" applyAlignment="1">
      <alignment horizontal="right"/>
    </xf>
    <xf numFmtId="4" fontId="43" fillId="26" borderId="0" xfId="0" applyNumberFormat="1" applyFont="1" applyFill="1" applyBorder="1" applyAlignment="1">
      <alignment horizontal="right"/>
    </xf>
    <xf numFmtId="0" fontId="2" fillId="27" borderId="19" xfId="0" applyFont="1" applyFill="1" applyBorder="1" applyAlignment="1" applyProtection="1">
      <alignment horizontal="left"/>
    </xf>
    <xf numFmtId="0" fontId="43" fillId="27" borderId="72" xfId="0" applyFont="1" applyFill="1" applyBorder="1" applyAlignment="1">
      <alignment horizontal="left"/>
    </xf>
    <xf numFmtId="0" fontId="43" fillId="27" borderId="13" xfId="0" applyFont="1" applyFill="1" applyBorder="1" applyAlignment="1">
      <alignment horizontal="left"/>
    </xf>
    <xf numFmtId="0" fontId="42" fillId="0" borderId="0" xfId="0" applyFont="1" applyAlignment="1">
      <alignment horizontal="center" wrapText="1"/>
    </xf>
    <xf numFmtId="4" fontId="45" fillId="0" borderId="0" xfId="0" applyNumberFormat="1" applyFont="1" applyBorder="1" applyAlignment="1">
      <alignment horizontal="left" wrapText="1"/>
    </xf>
    <xf numFmtId="0" fontId="46" fillId="0" borderId="75" xfId="0" applyFont="1" applyBorder="1" applyAlignment="1">
      <alignment horizontal="left"/>
    </xf>
    <xf numFmtId="0" fontId="46" fillId="0" borderId="0" xfId="0" applyFont="1" applyAlignment="1">
      <alignment horizontal="left"/>
    </xf>
    <xf numFmtId="0" fontId="12" fillId="29" borderId="50" xfId="0" applyFont="1" applyFill="1" applyBorder="1" applyAlignment="1">
      <alignment horizontal="center"/>
    </xf>
    <xf numFmtId="0" fontId="12" fillId="29" borderId="51" xfId="0" applyFont="1" applyFill="1" applyBorder="1" applyAlignment="1">
      <alignment horizontal="center"/>
    </xf>
    <xf numFmtId="0" fontId="12" fillId="29" borderId="52" xfId="0" applyFont="1" applyFill="1" applyBorder="1" applyAlignment="1">
      <alignment horizontal="center"/>
    </xf>
    <xf numFmtId="0" fontId="38" fillId="29" borderId="3" xfId="0" applyFont="1" applyFill="1" applyBorder="1" applyAlignment="1">
      <alignment horizontal="center"/>
    </xf>
    <xf numFmtId="0" fontId="38" fillId="29" borderId="8" xfId="0" applyFont="1" applyFill="1" applyBorder="1" applyAlignment="1">
      <alignment horizontal="center"/>
    </xf>
    <xf numFmtId="0" fontId="38" fillId="29" borderId="57" xfId="0" applyFont="1" applyFill="1" applyBorder="1" applyAlignment="1">
      <alignment horizontal="center"/>
    </xf>
    <xf numFmtId="0" fontId="2" fillId="27" borderId="72" xfId="0" applyFont="1" applyFill="1" applyBorder="1" applyAlignment="1">
      <alignment horizontal="left"/>
    </xf>
    <xf numFmtId="0" fontId="2" fillId="27" borderId="13" xfId="0" applyFont="1" applyFill="1" applyBorder="1" applyAlignment="1">
      <alignment horizontal="left"/>
    </xf>
    <xf numFmtId="0" fontId="2" fillId="24" borderId="47" xfId="0" applyFont="1" applyFill="1" applyBorder="1" applyAlignment="1" applyProtection="1">
      <alignment horizontal="center" wrapText="1"/>
      <protection locked="0"/>
    </xf>
    <xf numFmtId="0" fontId="2" fillId="24" borderId="48" xfId="0" applyFont="1" applyFill="1" applyBorder="1" applyAlignment="1" applyProtection="1">
      <alignment horizontal="center" wrapText="1"/>
      <protection locked="0"/>
    </xf>
    <xf numFmtId="0" fontId="2" fillId="24" borderId="56" xfId="0" applyFont="1" applyFill="1" applyBorder="1" applyAlignment="1" applyProtection="1">
      <alignment horizontal="center" wrapText="1"/>
      <protection locked="0"/>
    </xf>
    <xf numFmtId="0" fontId="2" fillId="24" borderId="10" xfId="0" applyFont="1" applyFill="1" applyBorder="1" applyAlignment="1" applyProtection="1">
      <alignment horizontal="center" wrapText="1"/>
      <protection locked="0"/>
    </xf>
    <xf numFmtId="0" fontId="2" fillId="24" borderId="11" xfId="0" applyFont="1" applyFill="1" applyBorder="1" applyAlignment="1" applyProtection="1">
      <alignment horizontal="center" wrapText="1"/>
      <protection locked="0"/>
    </xf>
    <xf numFmtId="0" fontId="2" fillId="24" borderId="54" xfId="0" applyFont="1" applyFill="1" applyBorder="1" applyAlignment="1" applyProtection="1">
      <alignment horizontal="center" wrapText="1"/>
      <protection locked="0"/>
    </xf>
    <xf numFmtId="2" fontId="2" fillId="27" borderId="10" xfId="0" applyNumberFormat="1" applyFont="1" applyFill="1" applyBorder="1" applyAlignment="1">
      <alignment horizontal="center" wrapText="1"/>
    </xf>
    <xf numFmtId="2" fontId="2" fillId="27" borderId="11" xfId="0" applyNumberFormat="1" applyFont="1" applyFill="1" applyBorder="1" applyAlignment="1">
      <alignment horizontal="center" wrapText="1"/>
    </xf>
    <xf numFmtId="2" fontId="2" fillId="27" borderId="54" xfId="0" applyNumberFormat="1" applyFont="1" applyFill="1" applyBorder="1" applyAlignment="1">
      <alignment horizontal="center" wrapText="1"/>
    </xf>
    <xf numFmtId="0" fontId="2" fillId="0" borderId="53" xfId="0" applyFont="1" applyBorder="1" applyAlignment="1">
      <alignment horizontal="left"/>
    </xf>
    <xf numFmtId="0" fontId="2" fillId="0" borderId="12" xfId="0" applyFont="1" applyBorder="1" applyAlignment="1">
      <alignment horizontal="left"/>
    </xf>
    <xf numFmtId="0" fontId="2" fillId="0" borderId="55" xfId="0" applyFont="1" applyBorder="1" applyAlignment="1">
      <alignment horizontal="left"/>
    </xf>
    <xf numFmtId="0" fontId="2" fillId="0" borderId="49" xfId="0" applyFont="1" applyBorder="1" applyAlignment="1">
      <alignment horizontal="left"/>
    </xf>
    <xf numFmtId="0" fontId="42" fillId="0" borderId="0" xfId="0" applyFont="1" applyAlignment="1">
      <alignment horizontal="center" wrapText="1"/>
    </xf>
    <xf numFmtId="0" fontId="2" fillId="24" borderId="13" xfId="0" applyFont="1" applyFill="1" applyBorder="1" applyAlignment="1" applyProtection="1">
      <alignment horizontal="center" wrapText="1"/>
      <protection locked="0"/>
    </xf>
    <xf numFmtId="0" fontId="2" fillId="24" borderId="22" xfId="0" applyFont="1" applyFill="1" applyBorder="1" applyAlignment="1" applyProtection="1">
      <alignment horizontal="center" wrapText="1"/>
      <protection locked="0"/>
    </xf>
    <xf numFmtId="0" fontId="46" fillId="0" borderId="0" xfId="0" applyFont="1" applyBorder="1" applyAlignment="1">
      <alignment horizontal="left" wrapText="1"/>
    </xf>
    <xf numFmtId="0" fontId="46" fillId="0" borderId="0" xfId="0" applyFont="1" applyAlignment="1">
      <alignment horizontal="left" wrapText="1"/>
    </xf>
    <xf numFmtId="15" fontId="2" fillId="27" borderId="78" xfId="0" applyNumberFormat="1" applyFont="1" applyFill="1" applyBorder="1" applyAlignment="1" applyProtection="1">
      <alignment horizontal="left"/>
    </xf>
    <xf numFmtId="15" fontId="2" fillId="27" borderId="79" xfId="0" applyNumberFormat="1" applyFont="1" applyFill="1" applyBorder="1" applyAlignment="1" applyProtection="1">
      <alignment horizontal="left"/>
    </xf>
    <xf numFmtId="0" fontId="12" fillId="29" borderId="59" xfId="0" applyFont="1" applyFill="1" applyBorder="1" applyAlignment="1">
      <alignment horizontal="center"/>
    </xf>
    <xf numFmtId="0" fontId="12" fillId="29" borderId="76" xfId="0" applyFont="1" applyFill="1" applyBorder="1" applyAlignment="1">
      <alignment horizontal="center"/>
    </xf>
    <xf numFmtId="0" fontId="12" fillId="29" borderId="77" xfId="0" applyFont="1" applyFill="1" applyBorder="1" applyAlignment="1">
      <alignment horizontal="center"/>
    </xf>
    <xf numFmtId="2" fontId="2" fillId="24" borderId="10" xfId="0" applyNumberFormat="1" applyFont="1" applyFill="1" applyBorder="1" applyAlignment="1" applyProtection="1">
      <alignment horizontal="center" wrapText="1"/>
      <protection locked="0"/>
    </xf>
    <xf numFmtId="2" fontId="2" fillId="24" borderId="11" xfId="0" applyNumberFormat="1" applyFont="1" applyFill="1" applyBorder="1" applyAlignment="1" applyProtection="1">
      <alignment horizontal="center" wrapText="1"/>
      <protection locked="0"/>
    </xf>
    <xf numFmtId="2" fontId="2" fillId="24" borderId="54" xfId="0" applyNumberFormat="1" applyFont="1" applyFill="1" applyBorder="1" applyAlignment="1" applyProtection="1">
      <alignment horizontal="center" wrapText="1"/>
      <protection locked="0"/>
    </xf>
    <xf numFmtId="0" fontId="12" fillId="29" borderId="1" xfId="0" applyFont="1" applyFill="1" applyBorder="1" applyAlignment="1">
      <alignment horizontal="center"/>
    </xf>
    <xf numFmtId="0" fontId="12" fillId="29" borderId="38" xfId="0" applyFont="1" applyFill="1" applyBorder="1" applyAlignment="1">
      <alignment horizontal="center"/>
    </xf>
    <xf numFmtId="0" fontId="12" fillId="29" borderId="58" xfId="0" applyFont="1" applyFill="1" applyBorder="1" applyAlignment="1">
      <alignment horizontal="center"/>
    </xf>
    <xf numFmtId="0" fontId="43" fillId="27" borderId="72" xfId="0" applyFont="1" applyFill="1" applyBorder="1" applyAlignment="1">
      <alignment horizontal="left"/>
    </xf>
    <xf numFmtId="0" fontId="43" fillId="27" borderId="13" xfId="0" applyFont="1" applyFill="1" applyBorder="1" applyAlignment="1">
      <alignment horizontal="left"/>
    </xf>
    <xf numFmtId="0" fontId="43" fillId="27" borderId="73" xfId="0" applyFont="1" applyFill="1" applyBorder="1" applyAlignment="1">
      <alignment horizontal="left"/>
    </xf>
    <xf numFmtId="0" fontId="43" fillId="27" borderId="46" xfId="0" applyFont="1" applyFill="1" applyBorder="1" applyAlignment="1">
      <alignment horizontal="left"/>
    </xf>
    <xf numFmtId="0" fontId="43" fillId="27" borderId="70" xfId="0" applyFont="1" applyFill="1" applyBorder="1" applyAlignment="1">
      <alignment horizontal="left"/>
    </xf>
    <xf numFmtId="0" fontId="43" fillId="27" borderId="71" xfId="0" applyFont="1" applyFill="1" applyBorder="1" applyAlignment="1">
      <alignment horizontal="left"/>
    </xf>
    <xf numFmtId="0" fontId="2" fillId="27" borderId="61" xfId="0" applyFont="1" applyFill="1" applyBorder="1" applyAlignment="1">
      <alignment horizontal="left"/>
    </xf>
    <xf numFmtId="0" fontId="2" fillId="27" borderId="14" xfId="0" applyFont="1" applyFill="1" applyBorder="1" applyAlignment="1">
      <alignment horizontal="left"/>
    </xf>
    <xf numFmtId="0" fontId="2" fillId="27" borderId="70" xfId="0" applyFont="1" applyFill="1" applyBorder="1" applyAlignment="1">
      <alignment horizontal="left"/>
    </xf>
    <xf numFmtId="0" fontId="2" fillId="27" borderId="71" xfId="0" applyFont="1" applyFill="1" applyBorder="1" applyAlignment="1">
      <alignment horizontal="left"/>
    </xf>
    <xf numFmtId="49" fontId="2" fillId="2" borderId="10" xfId="0" applyNumberFormat="1" applyFont="1" applyFill="1" applyBorder="1" applyAlignment="1" applyProtection="1">
      <alignment horizontal="center"/>
      <protection locked="0"/>
    </xf>
    <xf numFmtId="49" fontId="2" fillId="2" borderId="11" xfId="0" applyNumberFormat="1" applyFont="1" applyFill="1" applyBorder="1" applyAlignment="1" applyProtection="1">
      <alignment horizontal="center"/>
      <protection locked="0"/>
    </xf>
    <xf numFmtId="49" fontId="2" fillId="2" borderId="54" xfId="0" applyNumberFormat="1" applyFont="1" applyFill="1" applyBorder="1" applyAlignment="1" applyProtection="1">
      <alignment horizontal="center"/>
      <protection locked="0"/>
    </xf>
    <xf numFmtId="0" fontId="2" fillId="27" borderId="10" xfId="0" applyNumberFormat="1" applyFont="1" applyFill="1" applyBorder="1" applyAlignment="1">
      <alignment horizontal="center"/>
    </xf>
    <xf numFmtId="0" fontId="2" fillId="27" borderId="11" xfId="0" applyNumberFormat="1" applyFont="1" applyFill="1" applyBorder="1" applyAlignment="1">
      <alignment horizontal="center"/>
    </xf>
    <xf numFmtId="0" fontId="2" fillId="27" borderId="54" xfId="0" applyNumberFormat="1" applyFont="1" applyFill="1" applyBorder="1" applyAlignment="1">
      <alignment horizontal="center"/>
    </xf>
    <xf numFmtId="0" fontId="12" fillId="29" borderId="1" xfId="0" applyFont="1" applyFill="1" applyBorder="1" applyAlignment="1">
      <alignment horizontal="center" wrapText="1"/>
    </xf>
    <xf numFmtId="0" fontId="12" fillId="29" borderId="38" xfId="0" applyFont="1" applyFill="1" applyBorder="1" applyAlignment="1">
      <alignment horizontal="center" wrapText="1"/>
    </xf>
    <xf numFmtId="0" fontId="12" fillId="29" borderId="58" xfId="0" applyFont="1" applyFill="1" applyBorder="1" applyAlignment="1">
      <alignment horizontal="center" wrapText="1"/>
    </xf>
    <xf numFmtId="0" fontId="2" fillId="27" borderId="7" xfId="0" applyFont="1" applyFill="1" applyBorder="1" applyAlignment="1">
      <alignment horizontal="center" vertical="center"/>
    </xf>
    <xf numFmtId="0" fontId="2" fillId="27" borderId="9" xfId="0" applyFont="1" applyFill="1" applyBorder="1" applyAlignment="1">
      <alignment horizontal="center" vertical="center"/>
    </xf>
    <xf numFmtId="4" fontId="2" fillId="2" borderId="10" xfId="0" applyNumberFormat="1" applyFont="1" applyFill="1" applyBorder="1" applyAlignment="1" applyProtection="1">
      <alignment horizontal="center"/>
      <protection locked="0"/>
    </xf>
    <xf numFmtId="4" fontId="2" fillId="2" borderId="11" xfId="0" applyNumberFormat="1" applyFont="1" applyFill="1" applyBorder="1" applyAlignment="1" applyProtection="1">
      <alignment horizontal="center"/>
      <protection locked="0"/>
    </xf>
    <xf numFmtId="4" fontId="2" fillId="2" borderId="54" xfId="0" applyNumberFormat="1" applyFont="1" applyFill="1" applyBorder="1" applyAlignment="1" applyProtection="1">
      <alignment horizontal="center"/>
      <protection locked="0"/>
    </xf>
    <xf numFmtId="0" fontId="2" fillId="24" borderId="13" xfId="0" applyFont="1" applyFill="1" applyBorder="1" applyAlignment="1" applyProtection="1">
      <alignment horizontal="center"/>
      <protection locked="0"/>
    </xf>
    <xf numFmtId="0" fontId="2" fillId="24" borderId="22" xfId="0" applyFont="1" applyFill="1" applyBorder="1" applyAlignment="1" applyProtection="1">
      <alignment horizontal="center"/>
      <protection locked="0"/>
    </xf>
    <xf numFmtId="0" fontId="2" fillId="27" borderId="62" xfId="0" applyFont="1" applyFill="1" applyBorder="1" applyAlignment="1">
      <alignment horizontal="center" vertical="center" wrapText="1"/>
    </xf>
    <xf numFmtId="0" fontId="2" fillId="27" borderId="4" xfId="0" applyFont="1" applyFill="1" applyBorder="1" applyAlignment="1">
      <alignment horizontal="center" vertical="center" wrapText="1"/>
    </xf>
    <xf numFmtId="0" fontId="4" fillId="0" borderId="28" xfId="0" applyFont="1" applyBorder="1"/>
    <xf numFmtId="0" fontId="9" fillId="0" borderId="29" xfId="0" applyFont="1" applyBorder="1" applyAlignment="1">
      <alignment horizontal="center" wrapText="1"/>
    </xf>
    <xf numFmtId="0" fontId="9" fillId="0" borderId="23" xfId="0" applyFont="1" applyBorder="1" applyAlignment="1">
      <alignment horizontal="center" wrapText="1"/>
    </xf>
    <xf numFmtId="0" fontId="9" fillId="0" borderId="26" xfId="0" applyFont="1" applyBorder="1" applyAlignment="1">
      <alignment horizontal="center" wrapText="1"/>
    </xf>
    <xf numFmtId="0" fontId="4" fillId="0" borderId="24" xfId="0" applyFont="1" applyBorder="1"/>
    <xf numFmtId="0" fontId="4" fillId="0" borderId="0" xfId="0" applyFont="1"/>
    <xf numFmtId="0" fontId="4" fillId="0" borderId="25" xfId="0" applyFont="1" applyBorder="1"/>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4" fillId="0" borderId="27" xfId="0" applyFont="1" applyBorder="1"/>
    <xf numFmtId="16" fontId="4" fillId="0" borderId="0" xfId="0" applyNumberFormat="1" applyFont="1"/>
    <xf numFmtId="0" fontId="11" fillId="0" borderId="0" xfId="0" applyFont="1" applyAlignment="1">
      <alignment wrapText="1"/>
    </xf>
    <xf numFmtId="0" fontId="0" fillId="0" borderId="0" xfId="0" applyAlignment="1">
      <alignment wrapText="1"/>
    </xf>
    <xf numFmtId="0" fontId="0" fillId="0" borderId="25" xfId="0" applyBorder="1" applyAlignment="1">
      <alignment wrapText="1"/>
    </xf>
    <xf numFmtId="0" fontId="11" fillId="0" borderId="23" xfId="0" applyFont="1" applyBorder="1" applyAlignment="1">
      <alignment horizontal="center" vertical="center" wrapText="1"/>
    </xf>
    <xf numFmtId="0" fontId="0" fillId="0" borderId="23" xfId="0" applyBorder="1" applyAlignment="1">
      <alignment vertical="center"/>
    </xf>
    <xf numFmtId="0" fontId="0" fillId="0" borderId="26" xfId="0" applyBorder="1" applyAlignment="1">
      <alignment vertical="center"/>
    </xf>
    <xf numFmtId="164" fontId="9" fillId="27" borderId="34" xfId="62" applyFont="1" applyFill="1" applyBorder="1" applyAlignment="1" applyProtection="1">
      <alignment horizontal="right"/>
    </xf>
    <xf numFmtId="164" fontId="9" fillId="27" borderId="13" xfId="62" applyFont="1" applyFill="1" applyBorder="1" applyAlignment="1" applyProtection="1">
      <alignment horizontal="right"/>
    </xf>
    <xf numFmtId="164" fontId="9" fillId="27" borderId="46" xfId="62" applyFont="1" applyFill="1" applyBorder="1" applyAlignment="1" applyProtection="1">
      <alignment horizontal="right"/>
    </xf>
  </cellXfs>
  <cellStyles count="69">
    <cellStyle name="12" xfId="1" xr:uid="{00000000-0005-0000-0000-000000000000}"/>
    <cellStyle name="14" xfId="2" xr:uid="{00000000-0005-0000-0000-000001000000}"/>
    <cellStyle name="20 % - Markeringsfarve1" xfId="3" xr:uid="{00000000-0005-0000-0000-000002000000}"/>
    <cellStyle name="20 % - Markeringsfarve2" xfId="4" xr:uid="{00000000-0005-0000-0000-000003000000}"/>
    <cellStyle name="20 % - Markeringsfarve3" xfId="5" xr:uid="{00000000-0005-0000-0000-000004000000}"/>
    <cellStyle name="20 % - Markeringsfarve4" xfId="6" xr:uid="{00000000-0005-0000-0000-000005000000}"/>
    <cellStyle name="20 % - Markeringsfarve5" xfId="7" xr:uid="{00000000-0005-0000-0000-000006000000}"/>
    <cellStyle name="20 % - Markeringsfarve6" xfId="8" xr:uid="{00000000-0005-0000-0000-000007000000}"/>
    <cellStyle name="40 % - Markeringsfarve1" xfId="9" xr:uid="{00000000-0005-0000-0000-000008000000}"/>
    <cellStyle name="40 % - Markeringsfarve2" xfId="10" xr:uid="{00000000-0005-0000-0000-000009000000}"/>
    <cellStyle name="40 % - Markeringsfarve3" xfId="11" xr:uid="{00000000-0005-0000-0000-00000A000000}"/>
    <cellStyle name="40 % - Markeringsfarve4" xfId="12" xr:uid="{00000000-0005-0000-0000-00000B000000}"/>
    <cellStyle name="40 % - Markeringsfarve5" xfId="13" xr:uid="{00000000-0005-0000-0000-00000C000000}"/>
    <cellStyle name="40 % - Markeringsfarve6" xfId="14" xr:uid="{00000000-0005-0000-0000-00000D000000}"/>
    <cellStyle name="60 % - Markeringsfarve1" xfId="15" xr:uid="{00000000-0005-0000-0000-00000E000000}"/>
    <cellStyle name="60 % - Markeringsfarve2" xfId="16" xr:uid="{00000000-0005-0000-0000-00000F000000}"/>
    <cellStyle name="60 % - Markeringsfarve3" xfId="17" xr:uid="{00000000-0005-0000-0000-000010000000}"/>
    <cellStyle name="60 % - Markeringsfarve4" xfId="18" xr:uid="{00000000-0005-0000-0000-000011000000}"/>
    <cellStyle name="60 % - Markeringsfarve5" xfId="19" xr:uid="{00000000-0005-0000-0000-000012000000}"/>
    <cellStyle name="60 % - Markeringsfarve6" xfId="20" xr:uid="{00000000-0005-0000-0000-000013000000}"/>
    <cellStyle name="9" xfId="21" xr:uid="{00000000-0005-0000-0000-000014000000}"/>
    <cellStyle name="Advarselstekst" xfId="22" xr:uid="{00000000-0005-0000-0000-000015000000}"/>
    <cellStyle name="Bemærk!" xfId="23" xr:uid="{00000000-0005-0000-0000-000016000000}"/>
    <cellStyle name="Beregning" xfId="24" xr:uid="{00000000-0005-0000-0000-000017000000}"/>
    <cellStyle name="Besøgt link" xfId="64" builtinId="9" hidden="1"/>
    <cellStyle name="Besøgt link" xfId="66" builtinId="9" hidden="1"/>
    <cellStyle name="Besøgt link" xfId="68" builtinId="9" hidden="1"/>
    <cellStyle name="Chicago" xfId="25" xr:uid="{00000000-0005-0000-0000-00001B000000}"/>
    <cellStyle name="Comma [0]_DelAktPl.xls" xfId="26" xr:uid="{00000000-0005-0000-0000-00001C000000}"/>
    <cellStyle name="Comma_DelAktPl.xls" xfId="27" xr:uid="{00000000-0005-0000-0000-00001D000000}"/>
    <cellStyle name="courier" xfId="28" xr:uid="{00000000-0005-0000-0000-00001E000000}"/>
    <cellStyle name="Currency [0]_DelAktPl.xls" xfId="29" xr:uid="{00000000-0005-0000-0000-00001F000000}"/>
    <cellStyle name="Currency_DelAktPl.xls" xfId="30" xr:uid="{00000000-0005-0000-0000-000020000000}"/>
    <cellStyle name="Dårlig" xfId="31" xr:uid="{00000000-0005-0000-0000-000021000000}"/>
    <cellStyle name="Forklarende tekst" xfId="32" xr:uid="{00000000-0005-0000-0000-000022000000}"/>
    <cellStyle name="God" xfId="33" xr:uid="{00000000-0005-0000-0000-000023000000}"/>
    <cellStyle name="Input" xfId="34" xr:uid="{00000000-0005-0000-0000-000027000000}"/>
    <cellStyle name="Komma" xfId="62" builtinId="3"/>
    <cellStyle name="komma0" xfId="35" xr:uid="{00000000-0005-0000-0000-000029000000}"/>
    <cellStyle name="komma1" xfId="36" xr:uid="{00000000-0005-0000-0000-00002A000000}"/>
    <cellStyle name="komma2" xfId="37" xr:uid="{00000000-0005-0000-0000-00002B000000}"/>
    <cellStyle name="komma4" xfId="38" xr:uid="{00000000-0005-0000-0000-00002C000000}"/>
    <cellStyle name="Kontrollér celle" xfId="39" xr:uid="{00000000-0005-0000-0000-00002D000000}"/>
    <cellStyle name="kr" xfId="40" xr:uid="{00000000-0005-0000-0000-00002E000000}"/>
    <cellStyle name="Link" xfId="63" builtinId="8" hidden="1"/>
    <cellStyle name="Link" xfId="65" builtinId="8" hidden="1"/>
    <cellStyle name="Link" xfId="67" builtinId="8" hidden="1"/>
    <cellStyle name="Markeringsfarve1" xfId="41" xr:uid="{00000000-0005-0000-0000-00002F000000}"/>
    <cellStyle name="Markeringsfarve2" xfId="42" xr:uid="{00000000-0005-0000-0000-000030000000}"/>
    <cellStyle name="Markeringsfarve3" xfId="43" xr:uid="{00000000-0005-0000-0000-000031000000}"/>
    <cellStyle name="Markeringsfarve4" xfId="44" xr:uid="{00000000-0005-0000-0000-000032000000}"/>
    <cellStyle name="Markeringsfarve5" xfId="45" xr:uid="{00000000-0005-0000-0000-000033000000}"/>
    <cellStyle name="Markeringsfarve6" xfId="46" xr:uid="{00000000-0005-0000-0000-000034000000}"/>
    <cellStyle name="Neutral" xfId="47" xr:uid="{00000000-0005-0000-0000-000035000000}"/>
    <cellStyle name="Normal" xfId="0" builtinId="0"/>
    <cellStyle name="Normal_AdmkII-03.xls" xfId="48" xr:uid="{00000000-0005-0000-0000-000037000000}"/>
    <cellStyle name="Output" xfId="49" xr:uid="{00000000-0005-0000-0000-000038000000}"/>
    <cellStyle name="Overskrift 1" xfId="50" xr:uid="{00000000-0005-0000-0000-000039000000}"/>
    <cellStyle name="Overskrift 2" xfId="51" xr:uid="{00000000-0005-0000-0000-00003A000000}"/>
    <cellStyle name="Overskrift 3" xfId="52" xr:uid="{00000000-0005-0000-0000-00003B000000}"/>
    <cellStyle name="Overskrift 4" xfId="53" xr:uid="{00000000-0005-0000-0000-00003C000000}"/>
    <cellStyle name="prc0" xfId="54" xr:uid="{00000000-0005-0000-0000-00003D000000}"/>
    <cellStyle name="prc1" xfId="55" xr:uid="{00000000-0005-0000-0000-00003E000000}"/>
    <cellStyle name="prc2" xfId="56" xr:uid="{00000000-0005-0000-0000-00003F000000}"/>
    <cellStyle name="Sammenkædet celle" xfId="57" xr:uid="{00000000-0005-0000-0000-000040000000}"/>
    <cellStyle name="skkode" xfId="58" xr:uid="{00000000-0005-0000-0000-000041000000}"/>
    <cellStyle name="skygget" xfId="59" xr:uid="{00000000-0005-0000-0000-000042000000}"/>
    <cellStyle name="Titel" xfId="60" xr:uid="{00000000-0005-0000-0000-000043000000}"/>
    <cellStyle name="Total" xfId="61" xr:uid="{00000000-0005-0000-0000-00004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B8D"/>
      <color rgb="FF000000"/>
      <color rgb="FF0A39D5"/>
      <color rgb="FF0C4CD5"/>
      <color rgb="FF006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64FAA-08BA-9F43-AB67-ADEFB50307BE}">
  <sheetPr>
    <tabColor rgb="FFFF0000"/>
    <pageSetUpPr fitToPage="1"/>
  </sheetPr>
  <dimension ref="A1:L69"/>
  <sheetViews>
    <sheetView tabSelected="1" zoomScaleNormal="100" workbookViewId="0">
      <selection activeCell="H3" sqref="H3"/>
    </sheetView>
  </sheetViews>
  <sheetFormatPr baseColWidth="10" defaultRowHeight="13"/>
  <cols>
    <col min="1" max="1" width="36" style="1" customWidth="1"/>
    <col min="2" max="2" width="13.42578125" style="1" customWidth="1"/>
    <col min="3" max="3" width="8.7109375" style="1" customWidth="1"/>
    <col min="4" max="4" width="10.140625" style="1" customWidth="1"/>
    <col min="5" max="5" width="9.28515625" style="1" customWidth="1"/>
    <col min="6" max="6" width="11.7109375" style="1" customWidth="1"/>
    <col min="7" max="7" width="11.5703125" style="1" customWidth="1"/>
    <col min="8" max="8" width="9.85546875" style="1" customWidth="1"/>
    <col min="9" max="9" width="9.28515625" style="1" customWidth="1"/>
    <col min="10" max="10" width="31.140625" style="1" customWidth="1"/>
    <col min="11" max="16384" width="10.7109375" style="1"/>
  </cols>
  <sheetData>
    <row r="1" spans="1:11" ht="25">
      <c r="A1" s="133" t="str">
        <f>"Beregning af særlige feriedage for ferieåret "&amp;C5&amp;""</f>
        <v>Beregning af særlige feriedage for ferieåret 01.05.2020 - 30.04.2021</v>
      </c>
      <c r="B1" s="134"/>
      <c r="C1" s="134"/>
      <c r="D1" s="134"/>
      <c r="E1" s="134"/>
      <c r="F1" s="134"/>
      <c r="G1" s="135"/>
      <c r="H1" s="91"/>
      <c r="I1" s="91"/>
      <c r="J1" s="91"/>
      <c r="K1" s="91"/>
    </row>
    <row r="2" spans="1:11" ht="25" customHeight="1">
      <c r="A2" s="136" t="s">
        <v>101</v>
      </c>
      <c r="B2" s="137"/>
      <c r="C2" s="137"/>
      <c r="D2" s="137"/>
      <c r="E2" s="137"/>
      <c r="F2" s="137"/>
      <c r="G2" s="138"/>
      <c r="H2" s="91"/>
      <c r="I2" s="91"/>
      <c r="J2" s="91"/>
      <c r="K2" s="91"/>
    </row>
    <row r="3" spans="1:11" ht="20" customHeight="1">
      <c r="A3" s="150" t="s">
        <v>64</v>
      </c>
      <c r="B3" s="151"/>
      <c r="C3" s="191" t="s">
        <v>107</v>
      </c>
      <c r="D3" s="192"/>
      <c r="E3" s="192"/>
      <c r="F3" s="192"/>
      <c r="G3" s="193"/>
      <c r="H3" s="91"/>
      <c r="I3" s="91"/>
      <c r="J3" s="91"/>
      <c r="K3" s="91"/>
    </row>
    <row r="4" spans="1:11" ht="20" customHeight="1">
      <c r="A4" s="150" t="s">
        <v>103</v>
      </c>
      <c r="B4" s="151"/>
      <c r="C4" s="180" t="s">
        <v>108</v>
      </c>
      <c r="D4" s="181"/>
      <c r="E4" s="181"/>
      <c r="F4" s="181"/>
      <c r="G4" s="182"/>
      <c r="H4" s="91"/>
      <c r="I4" s="91"/>
      <c r="J4" s="91"/>
      <c r="K4" s="91"/>
    </row>
    <row r="5" spans="1:11" ht="20" customHeight="1">
      <c r="A5" s="150" t="s">
        <v>100</v>
      </c>
      <c r="B5" s="151"/>
      <c r="C5" s="183" t="str">
        <f>"01.05."&amp;(C4+1)&amp;" - 30.04."&amp;(C4+2)&amp;""</f>
        <v>01.05.2020 - 30.04.2021</v>
      </c>
      <c r="D5" s="184"/>
      <c r="E5" s="184"/>
      <c r="F5" s="184"/>
      <c r="G5" s="185"/>
      <c r="H5" s="91"/>
      <c r="I5" s="91"/>
      <c r="J5" s="91"/>
      <c r="K5" s="91"/>
    </row>
    <row r="6" spans="1:11" ht="16">
      <c r="A6" s="150" t="s">
        <v>104</v>
      </c>
      <c r="B6" s="151"/>
      <c r="C6" s="194">
        <v>0.75</v>
      </c>
      <c r="D6" s="194"/>
      <c r="E6" s="194"/>
      <c r="F6" s="194"/>
      <c r="G6" s="195"/>
      <c r="H6" s="91"/>
      <c r="I6" s="91"/>
      <c r="J6" s="91"/>
      <c r="K6" s="91"/>
    </row>
    <row r="7" spans="1:11" ht="24" customHeight="1">
      <c r="A7" s="150" t="s">
        <v>74</v>
      </c>
      <c r="B7" s="151"/>
      <c r="C7" s="155">
        <v>17.3</v>
      </c>
      <c r="D7" s="155"/>
      <c r="E7" s="155"/>
      <c r="F7" s="155"/>
      <c r="G7" s="156"/>
      <c r="H7" s="91"/>
      <c r="I7" s="154"/>
      <c r="J7" s="154"/>
      <c r="K7" s="91"/>
    </row>
    <row r="8" spans="1:11" ht="24" customHeight="1">
      <c r="A8" s="150" t="s">
        <v>86</v>
      </c>
      <c r="B8" s="151"/>
      <c r="C8" s="144" t="s">
        <v>109</v>
      </c>
      <c r="D8" s="145"/>
      <c r="E8" s="145"/>
      <c r="F8" s="145"/>
      <c r="G8" s="146"/>
      <c r="H8" s="91"/>
      <c r="I8" s="129"/>
      <c r="J8" s="129"/>
      <c r="K8" s="91"/>
    </row>
    <row r="9" spans="1:11" ht="24" customHeight="1">
      <c r="A9" s="150" t="str">
        <f>"Antal særlige feriedage i alt i ferieåret "&amp;C5&amp;""</f>
        <v>Antal særlige feriedage i alt i ferieåret 01.05.2020 - 30.04.2021</v>
      </c>
      <c r="B9" s="151"/>
      <c r="C9" s="144">
        <v>5</v>
      </c>
      <c r="D9" s="145"/>
      <c r="E9" s="145"/>
      <c r="F9" s="145"/>
      <c r="G9" s="146"/>
      <c r="H9" s="98"/>
      <c r="I9" s="99"/>
      <c r="J9" s="99"/>
      <c r="K9" s="98"/>
    </row>
    <row r="10" spans="1:11" ht="24" customHeight="1">
      <c r="A10" s="150" t="s">
        <v>110</v>
      </c>
      <c r="B10" s="151"/>
      <c r="C10" s="164">
        <v>5</v>
      </c>
      <c r="D10" s="165"/>
      <c r="E10" s="165"/>
      <c r="F10" s="165"/>
      <c r="G10" s="166"/>
      <c r="H10" s="98"/>
      <c r="I10" s="99"/>
      <c r="J10" s="99"/>
      <c r="K10" s="98"/>
    </row>
    <row r="11" spans="1:11" ht="28" customHeight="1">
      <c r="A11" s="150" t="s">
        <v>111</v>
      </c>
      <c r="B11" s="151"/>
      <c r="C11" s="164">
        <v>2</v>
      </c>
      <c r="D11" s="165"/>
      <c r="E11" s="165"/>
      <c r="F11" s="165"/>
      <c r="G11" s="166"/>
      <c r="H11" s="157"/>
      <c r="I11" s="158"/>
      <c r="J11" s="158"/>
      <c r="K11" s="98"/>
    </row>
    <row r="12" spans="1:11" ht="24" customHeight="1">
      <c r="A12" s="150" t="s">
        <v>90</v>
      </c>
      <c r="B12" s="151"/>
      <c r="C12" s="147">
        <f>C10-C11</f>
        <v>3</v>
      </c>
      <c r="D12" s="148"/>
      <c r="E12" s="148"/>
      <c r="F12" s="148"/>
      <c r="G12" s="149"/>
      <c r="H12" s="98"/>
      <c r="I12" s="99"/>
      <c r="J12" s="99"/>
      <c r="K12" s="98"/>
    </row>
    <row r="13" spans="1:11" ht="30" customHeight="1" thickBot="1">
      <c r="A13" s="152" t="s">
        <v>84</v>
      </c>
      <c r="B13" s="153"/>
      <c r="C13" s="141">
        <v>4.62</v>
      </c>
      <c r="D13" s="142"/>
      <c r="E13" s="142"/>
      <c r="F13" s="142"/>
      <c r="G13" s="143"/>
      <c r="H13" s="157" t="s">
        <v>85</v>
      </c>
      <c r="I13" s="158"/>
      <c r="J13" s="158"/>
      <c r="K13" s="158"/>
    </row>
    <row r="14" spans="1:11" ht="24" customHeight="1" thickBot="1">
      <c r="A14" s="37"/>
      <c r="B14" s="38"/>
      <c r="C14" s="38"/>
      <c r="D14" s="38"/>
      <c r="E14" s="38"/>
      <c r="F14" s="38"/>
      <c r="H14" s="129"/>
      <c r="I14" s="129"/>
      <c r="J14" s="93"/>
      <c r="K14" s="93"/>
    </row>
    <row r="15" spans="1:11" ht="33" customHeight="1">
      <c r="A15" s="167" t="str">
        <f>"Faste løndele på ferietidspunktet - "&amp;C8&amp;" mdr."</f>
        <v>Faste løndele på ferietidspunktet - oktober mdr.</v>
      </c>
      <c r="B15" s="168"/>
      <c r="C15" s="168"/>
      <c r="D15" s="168"/>
      <c r="E15" s="168"/>
      <c r="F15" s="168"/>
      <c r="G15" s="169"/>
      <c r="H15" s="94"/>
      <c r="I15" s="94"/>
      <c r="J15" s="93"/>
      <c r="K15" s="93"/>
    </row>
    <row r="16" spans="1:11" ht="83" customHeight="1">
      <c r="A16" s="59" t="s">
        <v>69</v>
      </c>
      <c r="B16" s="39" t="s">
        <v>92</v>
      </c>
      <c r="C16" s="55" t="s">
        <v>112</v>
      </c>
      <c r="D16" s="56" t="s">
        <v>75</v>
      </c>
      <c r="E16" s="57" t="s">
        <v>113</v>
      </c>
      <c r="F16" s="57" t="s">
        <v>114</v>
      </c>
      <c r="G16" s="60" t="s">
        <v>76</v>
      </c>
      <c r="H16" s="93"/>
      <c r="I16" s="93"/>
      <c r="J16" s="93"/>
      <c r="K16" s="93"/>
    </row>
    <row r="17" spans="1:11" ht="14" customHeight="1">
      <c r="A17" s="61" t="s">
        <v>68</v>
      </c>
      <c r="B17" s="101">
        <v>22000</v>
      </c>
      <c r="C17" s="104" t="s">
        <v>65</v>
      </c>
      <c r="D17" s="40">
        <f>IF(C17&gt;0,B17*$C$7%,"0")</f>
        <v>3806.0000000000005</v>
      </c>
      <c r="E17" s="105" t="s">
        <v>65</v>
      </c>
      <c r="F17" s="215">
        <f>IF(E17&gt;0,B17,"0")</f>
        <v>22000</v>
      </c>
      <c r="G17" s="62">
        <f>IF(E17&gt;0,F17*C7%,0)</f>
        <v>3806.0000000000005</v>
      </c>
      <c r="H17" s="98"/>
      <c r="I17" s="93"/>
      <c r="J17" s="93"/>
      <c r="K17" s="93"/>
    </row>
    <row r="18" spans="1:11" ht="14" customHeight="1">
      <c r="A18" s="61" t="s">
        <v>34</v>
      </c>
      <c r="B18" s="102">
        <v>600</v>
      </c>
      <c r="C18" s="42"/>
      <c r="D18" s="43"/>
      <c r="E18" s="105" t="s">
        <v>65</v>
      </c>
      <c r="F18" s="216">
        <f>IF(E18&gt;0,B18,"0")</f>
        <v>600</v>
      </c>
      <c r="G18" s="63"/>
      <c r="H18" s="131"/>
      <c r="I18" s="132"/>
      <c r="J18" s="132"/>
      <c r="K18" s="93" t="s">
        <v>65</v>
      </c>
    </row>
    <row r="19" spans="1:11" ht="14" customHeight="1">
      <c r="A19" s="61" t="s">
        <v>4</v>
      </c>
      <c r="B19" s="102">
        <v>250</v>
      </c>
      <c r="C19" s="104"/>
      <c r="D19" s="40" t="str">
        <f t="shared" ref="D19:D41" si="0">IF(C19&gt;0,B19*$C$7%,"0")</f>
        <v>0</v>
      </c>
      <c r="E19" s="105"/>
      <c r="F19" s="216" t="str">
        <f>IF(E19&gt;0,B19,"0")</f>
        <v>0</v>
      </c>
      <c r="G19" s="62">
        <f>IF(E19&gt;0,F19*B15%,0)</f>
        <v>0</v>
      </c>
      <c r="H19" s="98"/>
      <c r="I19" s="93"/>
      <c r="J19" s="93"/>
      <c r="K19" s="93"/>
    </row>
    <row r="20" spans="1:11" ht="14" customHeight="1">
      <c r="A20" s="61" t="s">
        <v>5</v>
      </c>
      <c r="B20" s="102">
        <v>2500</v>
      </c>
      <c r="C20" s="104" t="s">
        <v>65</v>
      </c>
      <c r="D20" s="40">
        <f t="shared" si="0"/>
        <v>432.50000000000006</v>
      </c>
      <c r="E20" s="44"/>
      <c r="F20" s="45"/>
      <c r="G20" s="63"/>
      <c r="H20" s="98"/>
      <c r="I20" s="93"/>
      <c r="J20" s="93"/>
      <c r="K20" s="93"/>
    </row>
    <row r="21" spans="1:11" ht="14" customHeight="1">
      <c r="A21" s="61" t="s">
        <v>6</v>
      </c>
      <c r="B21" s="102">
        <v>108.35</v>
      </c>
      <c r="C21" s="42"/>
      <c r="D21" s="43"/>
      <c r="E21" s="44"/>
      <c r="F21" s="45"/>
      <c r="G21" s="63"/>
      <c r="H21" s="98"/>
      <c r="I21" s="93"/>
      <c r="J21" s="93"/>
      <c r="K21" s="93"/>
    </row>
    <row r="22" spans="1:11" ht="14" customHeight="1">
      <c r="A22" s="61" t="s">
        <v>7</v>
      </c>
      <c r="B22" s="102">
        <v>1900</v>
      </c>
      <c r="C22" s="104" t="s">
        <v>65</v>
      </c>
      <c r="D22" s="40">
        <f t="shared" si="0"/>
        <v>328.70000000000005</v>
      </c>
      <c r="E22" s="44"/>
      <c r="F22" s="45"/>
      <c r="G22" s="63"/>
      <c r="H22" s="98"/>
      <c r="I22" s="93"/>
      <c r="J22" s="93"/>
      <c r="K22" s="93"/>
    </row>
    <row r="23" spans="1:11" ht="14" customHeight="1">
      <c r="A23" s="61" t="s">
        <v>8</v>
      </c>
      <c r="B23" s="102">
        <v>2500</v>
      </c>
      <c r="C23" s="104" t="s">
        <v>65</v>
      </c>
      <c r="D23" s="40">
        <f t="shared" si="0"/>
        <v>432.50000000000006</v>
      </c>
      <c r="E23" s="108" t="s">
        <v>65</v>
      </c>
      <c r="F23" s="216">
        <f t="shared" ref="F23:F29" si="1">IF(E23&gt;0,B23,"0")</f>
        <v>2500</v>
      </c>
      <c r="G23" s="62">
        <f>IF(E23&gt;0,F23*$C$7%,0)</f>
        <v>432.50000000000006</v>
      </c>
      <c r="H23" s="98"/>
      <c r="I23" s="93"/>
      <c r="J23" s="93"/>
      <c r="K23" s="93"/>
    </row>
    <row r="24" spans="1:11" ht="14" customHeight="1">
      <c r="A24" s="61" t="s">
        <v>9</v>
      </c>
      <c r="B24" s="102"/>
      <c r="C24" s="104"/>
      <c r="D24" s="40" t="str">
        <f t="shared" si="0"/>
        <v>0</v>
      </c>
      <c r="E24" s="108"/>
      <c r="F24" s="216" t="str">
        <f t="shared" si="1"/>
        <v>0</v>
      </c>
      <c r="G24" s="62">
        <f t="shared" ref="G24:G25" si="2">IF(E24&gt;0,F24*$C$7%,0)</f>
        <v>0</v>
      </c>
      <c r="H24" s="98"/>
      <c r="I24" s="93"/>
      <c r="J24" s="93"/>
      <c r="K24" s="93"/>
    </row>
    <row r="25" spans="1:11" ht="14" customHeight="1">
      <c r="A25" s="61" t="s">
        <v>0</v>
      </c>
      <c r="B25" s="103"/>
      <c r="C25" s="104"/>
      <c r="D25" s="40" t="str">
        <f t="shared" si="0"/>
        <v>0</v>
      </c>
      <c r="E25" s="108"/>
      <c r="F25" s="216" t="str">
        <f t="shared" si="1"/>
        <v>0</v>
      </c>
      <c r="G25" s="62">
        <f t="shared" si="2"/>
        <v>0</v>
      </c>
      <c r="H25" s="98"/>
      <c r="I25" s="93"/>
      <c r="J25" s="93"/>
      <c r="K25" s="93"/>
    </row>
    <row r="26" spans="1:11" ht="14" customHeight="1">
      <c r="A26" s="61" t="s">
        <v>67</v>
      </c>
      <c r="B26" s="103"/>
      <c r="C26" s="42"/>
      <c r="D26" s="43"/>
      <c r="E26" s="108"/>
      <c r="F26" s="216" t="str">
        <f t="shared" si="1"/>
        <v>0</v>
      </c>
      <c r="G26" s="63"/>
      <c r="H26" s="98"/>
      <c r="I26" s="93"/>
      <c r="J26" s="93"/>
      <c r="K26" s="93"/>
    </row>
    <row r="27" spans="1:11" ht="14" customHeight="1">
      <c r="A27" s="61" t="s">
        <v>63</v>
      </c>
      <c r="B27" s="103"/>
      <c r="C27" s="104"/>
      <c r="D27" s="40" t="str">
        <f>IF(C27&gt;0,B27*$C$7%,"0")</f>
        <v>0</v>
      </c>
      <c r="E27" s="108"/>
      <c r="F27" s="216" t="str">
        <f t="shared" si="1"/>
        <v>0</v>
      </c>
      <c r="G27" s="62">
        <f>IF(E27&gt;0,F27*$C$7%,0)</f>
        <v>0</v>
      </c>
      <c r="H27" s="98"/>
      <c r="I27" s="93"/>
      <c r="J27" s="93"/>
      <c r="K27" s="93"/>
    </row>
    <row r="28" spans="1:11" ht="14" customHeight="1">
      <c r="A28" s="61" t="s">
        <v>106</v>
      </c>
      <c r="B28" s="103"/>
      <c r="C28" s="104"/>
      <c r="D28" s="40" t="str">
        <f>IF(C28&gt;0,B28*$C$7%,"0")</f>
        <v>0</v>
      </c>
      <c r="E28" s="108"/>
      <c r="F28" s="216" t="str">
        <f>IF(E28&gt;0,B28,"0")</f>
        <v>0</v>
      </c>
      <c r="G28" s="62">
        <f>IF(E28&gt;0,F28*$C$7%,0)</f>
        <v>0</v>
      </c>
      <c r="H28" s="98"/>
      <c r="I28" s="93"/>
      <c r="J28" s="93"/>
      <c r="K28" s="93"/>
    </row>
    <row r="29" spans="1:11" ht="14" customHeight="1">
      <c r="A29" s="61" t="s">
        <v>62</v>
      </c>
      <c r="B29" s="103"/>
      <c r="C29" s="104"/>
      <c r="D29" s="40" t="str">
        <f t="shared" si="0"/>
        <v>0</v>
      </c>
      <c r="E29" s="108"/>
      <c r="F29" s="216" t="str">
        <f t="shared" si="1"/>
        <v>0</v>
      </c>
      <c r="G29" s="62">
        <f t="shared" ref="G29:G32" si="3">IF(E29&gt;0,F29*$C$7%,0)</f>
        <v>0</v>
      </c>
      <c r="H29" s="98"/>
      <c r="I29" s="93"/>
      <c r="J29" s="93"/>
      <c r="K29" s="93"/>
    </row>
    <row r="30" spans="1:11" ht="14" customHeight="1">
      <c r="A30" s="61" t="s">
        <v>66</v>
      </c>
      <c r="B30" s="103"/>
      <c r="C30" s="104"/>
      <c r="D30" s="40" t="str">
        <f t="shared" si="0"/>
        <v>0</v>
      </c>
      <c r="E30" s="108"/>
      <c r="F30" s="216"/>
      <c r="G30" s="62">
        <f t="shared" si="3"/>
        <v>0</v>
      </c>
      <c r="H30" s="98"/>
      <c r="I30" s="93"/>
      <c r="J30" s="93"/>
      <c r="K30" s="93"/>
    </row>
    <row r="31" spans="1:11" ht="14" customHeight="1">
      <c r="A31" s="61" t="s">
        <v>66</v>
      </c>
      <c r="B31" s="103"/>
      <c r="C31" s="104"/>
      <c r="D31" s="40" t="str">
        <f t="shared" si="0"/>
        <v>0</v>
      </c>
      <c r="E31" s="108"/>
      <c r="F31" s="216"/>
      <c r="G31" s="62">
        <f t="shared" si="3"/>
        <v>0</v>
      </c>
      <c r="H31" s="98"/>
      <c r="I31" s="93"/>
      <c r="J31" s="93"/>
      <c r="K31" s="93"/>
    </row>
    <row r="32" spans="1:11" ht="14" customHeight="1">
      <c r="A32" s="61" t="s">
        <v>66</v>
      </c>
      <c r="B32" s="103"/>
      <c r="C32" s="104"/>
      <c r="D32" s="40" t="str">
        <f t="shared" si="0"/>
        <v>0</v>
      </c>
      <c r="E32" s="108"/>
      <c r="F32" s="216"/>
      <c r="G32" s="62">
        <f t="shared" si="3"/>
        <v>0</v>
      </c>
      <c r="H32" s="98"/>
      <c r="I32" s="93"/>
      <c r="J32" s="93"/>
      <c r="K32" s="93"/>
    </row>
    <row r="33" spans="1:11" ht="21" customHeight="1">
      <c r="A33" s="59" t="s">
        <v>70</v>
      </c>
      <c r="B33" s="35"/>
      <c r="C33" s="100"/>
      <c r="D33" s="41"/>
      <c r="E33" s="34"/>
      <c r="F33" s="36"/>
      <c r="G33" s="64"/>
      <c r="H33" s="98"/>
      <c r="I33" s="93"/>
      <c r="J33" s="93"/>
      <c r="K33" s="93"/>
    </row>
    <row r="34" spans="1:11" ht="14" customHeight="1">
      <c r="A34" s="61" t="s">
        <v>77</v>
      </c>
      <c r="B34" s="103"/>
      <c r="C34" s="104"/>
      <c r="D34" s="40" t="str">
        <f t="shared" si="0"/>
        <v>0</v>
      </c>
      <c r="E34" s="108"/>
      <c r="F34" s="216" t="str">
        <f>IF(E34&gt;0,B34,"0")</f>
        <v>0</v>
      </c>
      <c r="G34" s="62">
        <f>IF(E34&gt;0,F34*C7%,0)</f>
        <v>0</v>
      </c>
      <c r="H34" s="98"/>
      <c r="I34" s="93"/>
      <c r="J34" s="93"/>
      <c r="K34" s="93"/>
    </row>
    <row r="35" spans="1:11" ht="14" customHeight="1">
      <c r="A35" s="61" t="s">
        <v>78</v>
      </c>
      <c r="B35" s="103"/>
      <c r="C35" s="42"/>
      <c r="D35" s="43"/>
      <c r="E35" s="108"/>
      <c r="F35" s="216" t="str">
        <f t="shared" ref="F35:F41" si="4">IF(E35&gt;0,B35,"0")</f>
        <v>0</v>
      </c>
      <c r="G35" s="63"/>
      <c r="H35" s="98"/>
      <c r="I35" s="93"/>
      <c r="J35" s="93"/>
      <c r="K35" s="93"/>
    </row>
    <row r="36" spans="1:11" ht="14" customHeight="1">
      <c r="A36" s="61" t="s">
        <v>99</v>
      </c>
      <c r="B36" s="103"/>
      <c r="C36" s="42"/>
      <c r="D36" s="43"/>
      <c r="E36" s="108"/>
      <c r="F36" s="216" t="str">
        <f t="shared" si="4"/>
        <v>0</v>
      </c>
      <c r="G36" s="63"/>
      <c r="H36" s="98"/>
      <c r="I36" s="93"/>
      <c r="J36" s="93"/>
      <c r="K36" s="93"/>
    </row>
    <row r="37" spans="1:11" ht="14" customHeight="1">
      <c r="A37" s="61" t="s">
        <v>79</v>
      </c>
      <c r="B37" s="103"/>
      <c r="C37" s="104"/>
      <c r="D37" s="40" t="str">
        <f t="shared" si="0"/>
        <v>0</v>
      </c>
      <c r="E37" s="108"/>
      <c r="F37" s="216" t="str">
        <f t="shared" si="4"/>
        <v>0</v>
      </c>
      <c r="G37" s="62">
        <f>IF(E37&gt;0,F37*$C$7%,0)</f>
        <v>0</v>
      </c>
      <c r="H37" s="98"/>
      <c r="I37" s="93"/>
      <c r="J37" s="93"/>
      <c r="K37" s="93"/>
    </row>
    <row r="38" spans="1:11" ht="14" customHeight="1">
      <c r="A38" s="61" t="s">
        <v>71</v>
      </c>
      <c r="B38" s="103"/>
      <c r="C38" s="42"/>
      <c r="D38" s="43"/>
      <c r="E38" s="44"/>
      <c r="F38" s="44"/>
      <c r="G38" s="63"/>
      <c r="H38" s="98"/>
      <c r="I38" s="93"/>
      <c r="J38" s="93"/>
      <c r="K38" s="93"/>
    </row>
    <row r="39" spans="1:11" ht="14" customHeight="1">
      <c r="A39" s="61" t="s">
        <v>72</v>
      </c>
      <c r="B39" s="103"/>
      <c r="C39" s="104"/>
      <c r="D39" s="40" t="str">
        <f t="shared" si="0"/>
        <v>0</v>
      </c>
      <c r="E39" s="108"/>
      <c r="F39" s="216" t="str">
        <f t="shared" si="4"/>
        <v>0</v>
      </c>
      <c r="G39" s="62">
        <f t="shared" ref="G39:G41" si="5">IF(E39&gt;0,F39*$C$7%,0)</f>
        <v>0</v>
      </c>
      <c r="H39" s="98"/>
      <c r="I39" s="93"/>
      <c r="J39" s="93"/>
      <c r="K39" s="93"/>
    </row>
    <row r="40" spans="1:11" ht="14" customHeight="1">
      <c r="A40" s="61" t="s">
        <v>73</v>
      </c>
      <c r="B40" s="103"/>
      <c r="C40" s="104"/>
      <c r="D40" s="40" t="str">
        <f t="shared" si="0"/>
        <v>0</v>
      </c>
      <c r="E40" s="108"/>
      <c r="F40" s="216" t="str">
        <f t="shared" si="4"/>
        <v>0</v>
      </c>
      <c r="G40" s="62">
        <f t="shared" si="5"/>
        <v>0</v>
      </c>
      <c r="H40" s="98"/>
      <c r="I40" s="93"/>
      <c r="J40" s="93"/>
      <c r="K40" s="93"/>
    </row>
    <row r="41" spans="1:11" ht="15" customHeight="1" thickBot="1">
      <c r="A41" s="65" t="s">
        <v>66</v>
      </c>
      <c r="B41" s="123"/>
      <c r="C41" s="104"/>
      <c r="D41" s="46" t="str">
        <f t="shared" si="0"/>
        <v>0</v>
      </c>
      <c r="E41" s="108"/>
      <c r="F41" s="217" t="str">
        <f t="shared" si="4"/>
        <v>0</v>
      </c>
      <c r="G41" s="62">
        <f t="shared" si="5"/>
        <v>0</v>
      </c>
      <c r="H41" s="98"/>
      <c r="I41" s="93"/>
      <c r="J41" s="93"/>
      <c r="K41" s="93"/>
    </row>
    <row r="42" spans="1:11" ht="14" thickBot="1">
      <c r="A42" s="66"/>
      <c r="B42" s="67">
        <f>SUM(B17:B41)</f>
        <v>29858.35</v>
      </c>
      <c r="C42" s="68"/>
      <c r="D42" s="69">
        <f>SUM(D17:D41)</f>
        <v>4999.7000000000007</v>
      </c>
      <c r="E42" s="68"/>
      <c r="F42" s="69">
        <f>SUM(F17:F41)</f>
        <v>25100</v>
      </c>
      <c r="G42" s="70">
        <f>SUM(G17:G41)</f>
        <v>4238.5000000000009</v>
      </c>
      <c r="H42" s="32"/>
    </row>
    <row r="43" spans="1:11" ht="5" customHeight="1">
      <c r="C43" s="2"/>
      <c r="D43" s="2"/>
    </row>
    <row r="44" spans="1:11" ht="16">
      <c r="A44" s="58" t="s">
        <v>35</v>
      </c>
      <c r="C44" s="2"/>
      <c r="D44" s="2"/>
      <c r="J44" s="33"/>
    </row>
    <row r="45" spans="1:11" ht="16">
      <c r="A45" s="58" t="s">
        <v>80</v>
      </c>
      <c r="B45" s="3"/>
      <c r="J45" s="33"/>
    </row>
    <row r="46" spans="1:11" ht="14" thickBot="1">
      <c r="B46" s="3"/>
    </row>
    <row r="47" spans="1:11" ht="56" customHeight="1">
      <c r="A47" s="186" t="str">
        <f>"Beregning af gennemsnitlig beskæftigelsesgrad samt optjente særlige feriedage "&amp;C4&amp;""</f>
        <v>Beregning af gennemsnitlig beskæftigelsesgrad samt optjente særlige feriedage 2019</v>
      </c>
      <c r="B47" s="187"/>
      <c r="C47" s="187"/>
      <c r="D47" s="187"/>
      <c r="E47" s="187"/>
      <c r="F47" s="188"/>
    </row>
    <row r="48" spans="1:11" ht="16" customHeight="1">
      <c r="A48" s="71" t="s">
        <v>32</v>
      </c>
      <c r="B48" s="47" t="s">
        <v>33</v>
      </c>
      <c r="C48" s="47" t="s">
        <v>1</v>
      </c>
      <c r="D48" s="47" t="s">
        <v>2</v>
      </c>
      <c r="E48" s="189" t="s">
        <v>88</v>
      </c>
      <c r="F48" s="196" t="s">
        <v>89</v>
      </c>
    </row>
    <row r="49" spans="1:12" ht="16">
      <c r="A49" s="72" t="s">
        <v>82</v>
      </c>
      <c r="B49" s="48" t="s">
        <v>82</v>
      </c>
      <c r="C49" s="48" t="s">
        <v>83</v>
      </c>
      <c r="D49" s="48" t="s">
        <v>87</v>
      </c>
      <c r="E49" s="190"/>
      <c r="F49" s="197"/>
    </row>
    <row r="50" spans="1:12" ht="16">
      <c r="A50" s="110">
        <v>42004</v>
      </c>
      <c r="B50" s="111">
        <v>42215</v>
      </c>
      <c r="C50" s="112">
        <v>7</v>
      </c>
      <c r="D50" s="113">
        <v>0.85</v>
      </c>
      <c r="E50" s="49">
        <f>C50*D50</f>
        <v>5.95</v>
      </c>
      <c r="F50" s="73">
        <f>C50*2.08*(D50&gt;0)</f>
        <v>14.56</v>
      </c>
    </row>
    <row r="51" spans="1:12" ht="16">
      <c r="A51" s="114">
        <v>42216</v>
      </c>
      <c r="B51" s="115">
        <v>42368</v>
      </c>
      <c r="C51" s="116">
        <v>5</v>
      </c>
      <c r="D51" s="117">
        <v>1</v>
      </c>
      <c r="E51" s="50">
        <f>C51*D51</f>
        <v>5</v>
      </c>
      <c r="F51" s="74">
        <f>C51*2.08*(D51&gt;0)</f>
        <v>10.4</v>
      </c>
    </row>
    <row r="52" spans="1:12" ht="16">
      <c r="A52" s="118"/>
      <c r="B52" s="119"/>
      <c r="C52" s="120"/>
      <c r="D52" s="121"/>
      <c r="E52" s="50">
        <f t="shared" ref="E52:E56" si="6">C52*D52</f>
        <v>0</v>
      </c>
      <c r="F52" s="75">
        <f t="shared" ref="F52:F56" si="7">C52*2.08*(D52&gt;0)</f>
        <v>0</v>
      </c>
    </row>
    <row r="53" spans="1:12" ht="16">
      <c r="A53" s="118"/>
      <c r="B53" s="119"/>
      <c r="C53" s="120"/>
      <c r="D53" s="121"/>
      <c r="E53" s="50">
        <f t="shared" si="6"/>
        <v>0</v>
      </c>
      <c r="F53" s="75">
        <f t="shared" si="7"/>
        <v>0</v>
      </c>
    </row>
    <row r="54" spans="1:12" ht="16">
      <c r="A54" s="118"/>
      <c r="B54" s="119"/>
      <c r="C54" s="120"/>
      <c r="D54" s="121"/>
      <c r="E54" s="50">
        <f t="shared" si="6"/>
        <v>0</v>
      </c>
      <c r="F54" s="75">
        <f t="shared" si="7"/>
        <v>0</v>
      </c>
    </row>
    <row r="55" spans="1:12" ht="16">
      <c r="A55" s="118"/>
      <c r="B55" s="119"/>
      <c r="C55" s="120"/>
      <c r="D55" s="121"/>
      <c r="E55" s="50">
        <f t="shared" si="6"/>
        <v>0</v>
      </c>
      <c r="F55" s="75">
        <f t="shared" si="7"/>
        <v>0</v>
      </c>
    </row>
    <row r="56" spans="1:12" ht="16">
      <c r="A56" s="159" t="s">
        <v>105</v>
      </c>
      <c r="B56" s="160"/>
      <c r="C56" s="126">
        <v>1</v>
      </c>
      <c r="D56" s="122"/>
      <c r="E56" s="50">
        <f t="shared" si="6"/>
        <v>0</v>
      </c>
      <c r="F56" s="75">
        <f t="shared" si="7"/>
        <v>0</v>
      </c>
    </row>
    <row r="57" spans="1:12" ht="16">
      <c r="A57" s="76" t="s">
        <v>81</v>
      </c>
      <c r="B57" s="51"/>
      <c r="C57" s="52">
        <f>SUMIF(D50:D55,"&gt;0",C50:C55)</f>
        <v>12</v>
      </c>
      <c r="D57" s="53"/>
      <c r="E57" s="54">
        <f>SUM(E50:E55)+D56/160.33</f>
        <v>10.95</v>
      </c>
      <c r="F57" s="77">
        <f>SUM(F50:F56)</f>
        <v>24.96</v>
      </c>
    </row>
    <row r="58" spans="1:12" ht="17" thickBot="1">
      <c r="A58" s="78" t="s">
        <v>3</v>
      </c>
      <c r="B58" s="79" t="str">
        <f>"("&amp;TEXT(E57,"0,0000")&amp;" / "&amp;TEXT(C57,"0 00/00")&amp;")"</f>
        <v>(10,9500 / 12 00/01)</v>
      </c>
      <c r="C58" s="80"/>
      <c r="D58" s="81"/>
      <c r="E58" s="82"/>
      <c r="F58" s="83">
        <f>ROUND(E57/C57,4)</f>
        <v>0.91249999999999998</v>
      </c>
    </row>
    <row r="59" spans="1:12" ht="14" thickBot="1"/>
    <row r="60" spans="1:12" ht="26" thickBot="1">
      <c r="A60" s="161" t="s">
        <v>102</v>
      </c>
      <c r="B60" s="162"/>
      <c r="C60" s="162"/>
      <c r="D60" s="162"/>
      <c r="E60" s="162"/>
      <c r="F60" s="163"/>
    </row>
    <row r="61" spans="1:12" ht="16">
      <c r="A61" s="178" t="str">
        <f>"Gennemsnitlig beskæftigelsesgrad i "&amp;C4&amp;":"</f>
        <v>Gennemsnitlig beskæftigelsesgrad i 2019:</v>
      </c>
      <c r="B61" s="179"/>
      <c r="C61" s="179"/>
      <c r="D61" s="179"/>
      <c r="E61" s="179"/>
      <c r="F61" s="84">
        <f>F58</f>
        <v>0.91249999999999998</v>
      </c>
    </row>
    <row r="62" spans="1:12" ht="16">
      <c r="A62" s="139" t="str">
        <f>"beskæftigelsesgrad i "&amp;'Eksempel løn særlige feriedage'!C8&amp;" "&amp;(C4+1)&amp;""</f>
        <v>beskæftigelsesgrad i oktober 2020</v>
      </c>
      <c r="B62" s="140"/>
      <c r="C62" s="140"/>
      <c r="D62" s="140"/>
      <c r="E62" s="140"/>
      <c r="F62" s="85">
        <f>C6</f>
        <v>0.75</v>
      </c>
    </row>
    <row r="63" spans="1:12" ht="17" thickBot="1">
      <c r="A63" s="176" t="s">
        <v>91</v>
      </c>
      <c r="B63" s="177"/>
      <c r="C63" s="177"/>
      <c r="D63" s="177"/>
      <c r="E63" s="177"/>
      <c r="F63" s="86">
        <f>F61-F62</f>
        <v>0.16249999999999998</v>
      </c>
    </row>
    <row r="64" spans="1:12" ht="31" customHeight="1">
      <c r="A64" s="174" t="s">
        <v>95</v>
      </c>
      <c r="B64" s="175"/>
      <c r="C64" s="175"/>
      <c r="D64" s="175"/>
      <c r="E64" s="175"/>
      <c r="F64" s="87">
        <f>IF(AND(C10&gt;0,F63&lt;&gt;0),(G42/C7%/C6*1*F63*C13%*C11),0)</f>
        <v>490.48999999999995</v>
      </c>
      <c r="G64" s="124"/>
      <c r="H64" s="130"/>
      <c r="I64" s="130"/>
      <c r="J64" s="130"/>
      <c r="K64" s="130"/>
      <c r="L64" s="130"/>
    </row>
    <row r="65" spans="1:12" ht="27" customHeight="1">
      <c r="A65" s="170" t="s">
        <v>96</v>
      </c>
      <c r="B65" s="171"/>
      <c r="C65" s="171"/>
      <c r="D65" s="171"/>
      <c r="E65" s="171"/>
      <c r="F65" s="88">
        <f>IF(AND(C10&gt;0,F63&lt;&gt;0),(((F42)-(G42/C7%))/C6*1*F63*C13%*C11),0)</f>
        <v>12.011999999999924</v>
      </c>
      <c r="G65" s="124"/>
      <c r="H65" s="130"/>
      <c r="I65" s="130"/>
      <c r="J65" s="130"/>
      <c r="K65" s="130"/>
      <c r="L65" s="130"/>
    </row>
    <row r="66" spans="1:12" ht="19" customHeight="1">
      <c r="A66" s="170" t="s">
        <v>94</v>
      </c>
      <c r="B66" s="171"/>
      <c r="C66" s="171"/>
      <c r="D66" s="171"/>
      <c r="E66" s="171"/>
      <c r="F66" s="89">
        <f>IF(C12&gt;0,D42/C7%*C12*C13%*-1,0)</f>
        <v>-4005.54</v>
      </c>
      <c r="G66" s="125"/>
      <c r="H66" s="97"/>
      <c r="I66" s="97"/>
      <c r="J66" s="97"/>
      <c r="K66" s="97"/>
      <c r="L66" s="97"/>
    </row>
    <row r="67" spans="1:12" ht="20" customHeight="1">
      <c r="A67" s="127" t="s">
        <v>93</v>
      </c>
      <c r="B67" s="128"/>
      <c r="C67" s="128"/>
      <c r="D67" s="128"/>
      <c r="E67" s="128"/>
      <c r="F67" s="89">
        <f>IF(C12&gt;0,B42*C12*C13%*-1-F66,0)</f>
        <v>-132.82730999999967</v>
      </c>
      <c r="G67" s="125"/>
      <c r="H67" s="97"/>
      <c r="I67" s="97"/>
      <c r="J67" s="97"/>
      <c r="K67" s="97"/>
      <c r="L67" s="97"/>
    </row>
    <row r="68" spans="1:12" ht="19" customHeight="1">
      <c r="A68" s="170" t="s">
        <v>97</v>
      </c>
      <c r="B68" s="171"/>
      <c r="C68" s="171"/>
      <c r="D68" s="171"/>
      <c r="E68" s="171"/>
      <c r="F68" s="89">
        <f>F64*C7/100</f>
        <v>84.854769999999988</v>
      </c>
    </row>
    <row r="69" spans="1:12" ht="22" customHeight="1" thickBot="1">
      <c r="A69" s="172" t="s">
        <v>98</v>
      </c>
      <c r="B69" s="173"/>
      <c r="C69" s="173"/>
      <c r="D69" s="173"/>
      <c r="E69" s="173"/>
      <c r="F69" s="90">
        <f>IF(C12&gt;0,D42*C12*C13%*-1,0)</f>
        <v>-692.95842000000005</v>
      </c>
    </row>
  </sheetData>
  <mergeCells count="44">
    <mergeCell ref="A65:E65"/>
    <mergeCell ref="H65:L65"/>
    <mergeCell ref="A66:E66"/>
    <mergeCell ref="A68:E68"/>
    <mergeCell ref="A69:E69"/>
    <mergeCell ref="A60:F60"/>
    <mergeCell ref="A61:E61"/>
    <mergeCell ref="A62:E62"/>
    <mergeCell ref="A63:E63"/>
    <mergeCell ref="A64:E64"/>
    <mergeCell ref="H64:L64"/>
    <mergeCell ref="A15:G15"/>
    <mergeCell ref="H18:J18"/>
    <mergeCell ref="A47:F47"/>
    <mergeCell ref="E48:E49"/>
    <mergeCell ref="F48:F49"/>
    <mergeCell ref="A56:B56"/>
    <mergeCell ref="A11:B11"/>
    <mergeCell ref="C11:G11"/>
    <mergeCell ref="H11:J11"/>
    <mergeCell ref="A12:B12"/>
    <mergeCell ref="C12:G12"/>
    <mergeCell ref="A13:B13"/>
    <mergeCell ref="C13:G13"/>
    <mergeCell ref="H13:K13"/>
    <mergeCell ref="I7:J7"/>
    <mergeCell ref="A8:B8"/>
    <mergeCell ref="C8:G8"/>
    <mergeCell ref="A9:B9"/>
    <mergeCell ref="C9:G9"/>
    <mergeCell ref="A10:B10"/>
    <mergeCell ref="C10:G10"/>
    <mergeCell ref="A5:B5"/>
    <mergeCell ref="C5:G5"/>
    <mergeCell ref="A6:B6"/>
    <mergeCell ref="C6:G6"/>
    <mergeCell ref="A7:B7"/>
    <mergeCell ref="C7:G7"/>
    <mergeCell ref="A1:G1"/>
    <mergeCell ref="A2:G2"/>
    <mergeCell ref="A3:B3"/>
    <mergeCell ref="C3:G3"/>
    <mergeCell ref="A4:B4"/>
    <mergeCell ref="C4:G4"/>
  </mergeCells>
  <dataValidations count="2">
    <dataValidation type="list" allowBlank="1" showInputMessage="1" showErrorMessage="1" sqref="C39:C41 C37 C17 C19:C20 C22:C25 C27:C34 E17:E19 E23:E32 E34:E37 E39:E41" xr:uid="{AEEAE89C-D4A2-824A-BFFC-964387A8CCF2}">
      <formula1>$K$17:$K$18</formula1>
    </dataValidation>
    <dataValidation type="list" allowBlank="1" showInputMessage="1" showErrorMessage="1" sqref="E33" xr:uid="{693817B1-6982-8A47-B6CF-18EB6D24B19F}">
      <formula1>$J$17:$J$18</formula1>
    </dataValidation>
  </dataValidations>
  <pageMargins left="0.74803149606299213" right="0.74803149606299213" top="0.98425196850393704" bottom="0.98425196850393704" header="0.51181102362204722" footer="0.51181102362204722"/>
  <pageSetup paperSize="9" scale="51" orientation="portrait" horizontalDpi="4294967292" verticalDpi="4294967292"/>
  <headerFooter>
    <oddFooter>&amp;L&amp;F, &amp;A&amp;CFriskolernes Kontor &amp;ROle Mikkelsen</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69"/>
  <sheetViews>
    <sheetView workbookViewId="0">
      <selection activeCell="B25" sqref="B25"/>
    </sheetView>
  </sheetViews>
  <sheetFormatPr baseColWidth="10" defaultRowHeight="13"/>
  <cols>
    <col min="1" max="1" width="36" style="1" customWidth="1"/>
    <col min="2" max="2" width="13.42578125" style="1" customWidth="1"/>
    <col min="3" max="3" width="8.7109375" style="1" customWidth="1"/>
    <col min="4" max="4" width="10.140625" style="1" customWidth="1"/>
    <col min="5" max="5" width="9.28515625" style="1" customWidth="1"/>
    <col min="6" max="6" width="11.7109375" style="1" customWidth="1"/>
    <col min="7" max="7" width="11.5703125" style="1" customWidth="1"/>
    <col min="8" max="8" width="9.85546875" style="1" customWidth="1"/>
    <col min="9" max="9" width="9.28515625" style="1" customWidth="1"/>
    <col min="10" max="10" width="31.140625" style="1" customWidth="1"/>
    <col min="11" max="16384" width="10.7109375" style="1"/>
  </cols>
  <sheetData>
    <row r="1" spans="1:11" ht="25">
      <c r="A1" s="133" t="str">
        <f>"Beregning af særlige feriedage for ferieåret "&amp;C5&amp;""</f>
        <v>Beregning af særlige feriedage for ferieåret 01.05.1 - 30.04.2</v>
      </c>
      <c r="B1" s="134"/>
      <c r="C1" s="134"/>
      <c r="D1" s="134"/>
      <c r="E1" s="134"/>
      <c r="F1" s="134"/>
      <c r="G1" s="135"/>
      <c r="H1" s="91"/>
      <c r="I1" s="91"/>
      <c r="J1" s="91"/>
      <c r="K1" s="91"/>
    </row>
    <row r="2" spans="1:11" ht="25" customHeight="1">
      <c r="A2" s="136" t="s">
        <v>101</v>
      </c>
      <c r="B2" s="137"/>
      <c r="C2" s="137"/>
      <c r="D2" s="137"/>
      <c r="E2" s="137"/>
      <c r="F2" s="137"/>
      <c r="G2" s="138"/>
      <c r="H2" s="91"/>
      <c r="I2" s="91"/>
      <c r="J2" s="91"/>
      <c r="K2" s="91"/>
    </row>
    <row r="3" spans="1:11" ht="20" customHeight="1">
      <c r="A3" s="150" t="s">
        <v>64</v>
      </c>
      <c r="B3" s="151"/>
      <c r="C3" s="191"/>
      <c r="D3" s="192"/>
      <c r="E3" s="192"/>
      <c r="F3" s="192"/>
      <c r="G3" s="193"/>
      <c r="H3" s="91"/>
      <c r="I3" s="91"/>
      <c r="J3" s="91"/>
      <c r="K3" s="91"/>
    </row>
    <row r="4" spans="1:11" ht="20" customHeight="1">
      <c r="A4" s="150" t="s">
        <v>103</v>
      </c>
      <c r="B4" s="151"/>
      <c r="C4" s="180"/>
      <c r="D4" s="181"/>
      <c r="E4" s="181"/>
      <c r="F4" s="181"/>
      <c r="G4" s="182"/>
      <c r="H4" s="91"/>
      <c r="I4" s="91"/>
      <c r="J4" s="91"/>
      <c r="K4" s="91"/>
    </row>
    <row r="5" spans="1:11" ht="20" customHeight="1">
      <c r="A5" s="150" t="s">
        <v>100</v>
      </c>
      <c r="B5" s="151"/>
      <c r="C5" s="183" t="str">
        <f>"01.05."&amp;(C4+1)&amp;" - 30.04."&amp;(C4+2)&amp;""</f>
        <v>01.05.1 - 30.04.2</v>
      </c>
      <c r="D5" s="184"/>
      <c r="E5" s="184"/>
      <c r="F5" s="184"/>
      <c r="G5" s="185"/>
      <c r="H5" s="91"/>
      <c r="I5" s="91"/>
      <c r="J5" s="91"/>
      <c r="K5" s="91"/>
    </row>
    <row r="6" spans="1:11" ht="16">
      <c r="A6" s="150" t="s">
        <v>104</v>
      </c>
      <c r="B6" s="151"/>
      <c r="C6" s="194"/>
      <c r="D6" s="194"/>
      <c r="E6" s="194"/>
      <c r="F6" s="194"/>
      <c r="G6" s="195"/>
      <c r="H6" s="91"/>
      <c r="I6" s="91"/>
      <c r="J6" s="91"/>
      <c r="K6" s="91"/>
    </row>
    <row r="7" spans="1:11" ht="24" customHeight="1">
      <c r="A7" s="150" t="s">
        <v>74</v>
      </c>
      <c r="B7" s="151"/>
      <c r="C7" s="155"/>
      <c r="D7" s="155"/>
      <c r="E7" s="155"/>
      <c r="F7" s="155"/>
      <c r="G7" s="156"/>
      <c r="H7" s="91"/>
      <c r="I7" s="154"/>
      <c r="J7" s="154"/>
      <c r="K7" s="91"/>
    </row>
    <row r="8" spans="1:11" ht="24" customHeight="1">
      <c r="A8" s="150" t="s">
        <v>86</v>
      </c>
      <c r="B8" s="151"/>
      <c r="C8" s="144"/>
      <c r="D8" s="145"/>
      <c r="E8" s="145"/>
      <c r="F8" s="145"/>
      <c r="G8" s="146"/>
      <c r="H8" s="91"/>
      <c r="I8" s="92"/>
      <c r="J8" s="92"/>
      <c r="K8" s="91"/>
    </row>
    <row r="9" spans="1:11" ht="24" customHeight="1">
      <c r="A9" s="150" t="str">
        <f>"Antal særlige feriedage i alt i ferieåret "&amp;C5&amp;""</f>
        <v>Antal særlige feriedage i alt i ferieåret 01.05.1 - 30.04.2</v>
      </c>
      <c r="B9" s="151"/>
      <c r="C9" s="144"/>
      <c r="D9" s="145"/>
      <c r="E9" s="145"/>
      <c r="F9" s="145"/>
      <c r="G9" s="146"/>
      <c r="H9" s="98"/>
      <c r="I9" s="99"/>
      <c r="J9" s="99"/>
      <c r="K9" s="98"/>
    </row>
    <row r="10" spans="1:11" ht="24" customHeight="1">
      <c r="A10" s="150" t="s">
        <v>110</v>
      </c>
      <c r="B10" s="151"/>
      <c r="C10" s="164"/>
      <c r="D10" s="165"/>
      <c r="E10" s="165"/>
      <c r="F10" s="165"/>
      <c r="G10" s="166"/>
      <c r="H10" s="98"/>
      <c r="I10" s="99"/>
      <c r="J10" s="99"/>
      <c r="K10" s="98"/>
    </row>
    <row r="11" spans="1:11" ht="28" customHeight="1">
      <c r="A11" s="150" t="s">
        <v>111</v>
      </c>
      <c r="B11" s="151"/>
      <c r="C11" s="164"/>
      <c r="D11" s="165"/>
      <c r="E11" s="165"/>
      <c r="F11" s="165"/>
      <c r="G11" s="166"/>
      <c r="H11" s="157"/>
      <c r="I11" s="158"/>
      <c r="J11" s="158"/>
      <c r="K11" s="98"/>
    </row>
    <row r="12" spans="1:11" ht="24" customHeight="1">
      <c r="A12" s="150" t="s">
        <v>90</v>
      </c>
      <c r="B12" s="151"/>
      <c r="C12" s="147">
        <f>C10-C11</f>
        <v>0</v>
      </c>
      <c r="D12" s="148"/>
      <c r="E12" s="148"/>
      <c r="F12" s="148"/>
      <c r="G12" s="149"/>
      <c r="H12" s="98"/>
      <c r="I12" s="99"/>
      <c r="J12" s="99"/>
      <c r="K12" s="98"/>
    </row>
    <row r="13" spans="1:11" ht="30" customHeight="1" thickBot="1">
      <c r="A13" s="152" t="s">
        <v>84</v>
      </c>
      <c r="B13" s="153"/>
      <c r="C13" s="141"/>
      <c r="D13" s="142"/>
      <c r="E13" s="142"/>
      <c r="F13" s="142"/>
      <c r="G13" s="143"/>
      <c r="H13" s="157" t="s">
        <v>85</v>
      </c>
      <c r="I13" s="158"/>
      <c r="J13" s="158"/>
      <c r="K13" s="158"/>
    </row>
    <row r="14" spans="1:11" ht="24" customHeight="1" thickBot="1">
      <c r="A14" s="37"/>
      <c r="B14" s="38"/>
      <c r="C14" s="38"/>
      <c r="D14" s="38"/>
      <c r="E14" s="38"/>
      <c r="F14" s="38"/>
      <c r="H14" s="92"/>
      <c r="I14" s="92"/>
      <c r="J14" s="93"/>
      <c r="K14" s="93"/>
    </row>
    <row r="15" spans="1:11" ht="33" customHeight="1">
      <c r="A15" s="167" t="str">
        <f>"Faste løndele på ferietidspunktet - "&amp;C8&amp;" mdr."</f>
        <v>Faste løndele på ferietidspunktet -  mdr.</v>
      </c>
      <c r="B15" s="168"/>
      <c r="C15" s="168"/>
      <c r="D15" s="168"/>
      <c r="E15" s="168"/>
      <c r="F15" s="168"/>
      <c r="G15" s="169"/>
      <c r="H15" s="94"/>
      <c r="I15" s="94"/>
      <c r="J15" s="93"/>
      <c r="K15" s="93"/>
    </row>
    <row r="16" spans="1:11" ht="83" customHeight="1">
      <c r="A16" s="59" t="s">
        <v>69</v>
      </c>
      <c r="B16" s="39" t="s">
        <v>92</v>
      </c>
      <c r="C16" s="55" t="s">
        <v>112</v>
      </c>
      <c r="D16" s="56" t="s">
        <v>75</v>
      </c>
      <c r="E16" s="57" t="s">
        <v>113</v>
      </c>
      <c r="F16" s="57" t="s">
        <v>114</v>
      </c>
      <c r="G16" s="60" t="s">
        <v>76</v>
      </c>
      <c r="H16" s="93"/>
      <c r="I16" s="93"/>
      <c r="J16" s="93"/>
      <c r="K16" s="93"/>
    </row>
    <row r="17" spans="1:11" ht="14" customHeight="1">
      <c r="A17" s="61" t="s">
        <v>68</v>
      </c>
      <c r="B17" s="101"/>
      <c r="C17" s="104"/>
      <c r="D17" s="40" t="str">
        <f>IF(C17&gt;0,B17*$C$7%,"0")</f>
        <v>0</v>
      </c>
      <c r="E17" s="105"/>
      <c r="F17" s="106" t="str">
        <f>IF(E17&gt;0,B17,"0")</f>
        <v>0</v>
      </c>
      <c r="G17" s="62">
        <f>IF(E17&gt;0,F17*C7%,0)</f>
        <v>0</v>
      </c>
      <c r="H17" s="98"/>
      <c r="I17" s="93"/>
      <c r="J17" s="93"/>
      <c r="K17" s="93"/>
    </row>
    <row r="18" spans="1:11" ht="14" customHeight="1">
      <c r="A18" s="61" t="s">
        <v>34</v>
      </c>
      <c r="B18" s="102"/>
      <c r="C18" s="42"/>
      <c r="D18" s="43"/>
      <c r="E18" s="105"/>
      <c r="F18" s="107" t="str">
        <f>IF(E18&gt;0,B18,"0")</f>
        <v>0</v>
      </c>
      <c r="G18" s="63"/>
      <c r="H18" s="131"/>
      <c r="I18" s="132"/>
      <c r="J18" s="132"/>
      <c r="K18" s="93" t="s">
        <v>65</v>
      </c>
    </row>
    <row r="19" spans="1:11" ht="14" customHeight="1">
      <c r="A19" s="61" t="s">
        <v>4</v>
      </c>
      <c r="B19" s="102"/>
      <c r="C19" s="104"/>
      <c r="D19" s="40" t="str">
        <f t="shared" ref="D19:D41" si="0">IF(C19&gt;0,B19*$C$7%,"0")</f>
        <v>0</v>
      </c>
      <c r="E19" s="105"/>
      <c r="F19" s="107" t="str">
        <f>IF(E19&gt;0,B19,"0")</f>
        <v>0</v>
      </c>
      <c r="G19" s="62">
        <f>IF(E19&gt;0,F19*B15%,0)</f>
        <v>0</v>
      </c>
      <c r="H19" s="98"/>
      <c r="I19" s="93"/>
      <c r="J19" s="93"/>
      <c r="K19" s="93"/>
    </row>
    <row r="20" spans="1:11" ht="14" customHeight="1">
      <c r="A20" s="61" t="s">
        <v>5</v>
      </c>
      <c r="B20" s="102"/>
      <c r="C20" s="104"/>
      <c r="D20" s="40" t="str">
        <f t="shared" si="0"/>
        <v>0</v>
      </c>
      <c r="E20" s="44"/>
      <c r="F20" s="45"/>
      <c r="G20" s="63"/>
      <c r="H20" s="98"/>
      <c r="I20" s="93"/>
      <c r="J20" s="93"/>
      <c r="K20" s="93"/>
    </row>
    <row r="21" spans="1:11" ht="14" customHeight="1">
      <c r="A21" s="61" t="s">
        <v>6</v>
      </c>
      <c r="B21" s="102"/>
      <c r="C21" s="42"/>
      <c r="D21" s="43"/>
      <c r="E21" s="44"/>
      <c r="F21" s="45"/>
      <c r="G21" s="63"/>
      <c r="H21" s="98"/>
      <c r="I21" s="93"/>
      <c r="J21" s="93"/>
      <c r="K21" s="93"/>
    </row>
    <row r="22" spans="1:11" ht="14" customHeight="1">
      <c r="A22" s="61" t="s">
        <v>7</v>
      </c>
      <c r="B22" s="102"/>
      <c r="C22" s="104"/>
      <c r="D22" s="40" t="str">
        <f t="shared" si="0"/>
        <v>0</v>
      </c>
      <c r="E22" s="44"/>
      <c r="F22" s="45"/>
      <c r="G22" s="63"/>
      <c r="H22" s="98"/>
      <c r="I22" s="93"/>
      <c r="J22" s="93"/>
      <c r="K22" s="93"/>
    </row>
    <row r="23" spans="1:11" ht="14" customHeight="1">
      <c r="A23" s="61" t="s">
        <v>8</v>
      </c>
      <c r="B23" s="102"/>
      <c r="C23" s="104"/>
      <c r="D23" s="40" t="str">
        <f t="shared" si="0"/>
        <v>0</v>
      </c>
      <c r="E23" s="108"/>
      <c r="F23" s="107" t="str">
        <f t="shared" ref="F23:F29" si="1">IF(E23&gt;0,B23,"0")</f>
        <v>0</v>
      </c>
      <c r="G23" s="62">
        <f>IF(E23&gt;0,F23*$C$7%,0)</f>
        <v>0</v>
      </c>
      <c r="H23" s="98"/>
      <c r="I23" s="93"/>
      <c r="J23" s="93"/>
      <c r="K23" s="93"/>
    </row>
    <row r="24" spans="1:11" ht="14" customHeight="1">
      <c r="A24" s="61" t="s">
        <v>9</v>
      </c>
      <c r="B24" s="102"/>
      <c r="C24" s="104"/>
      <c r="D24" s="40" t="str">
        <f t="shared" si="0"/>
        <v>0</v>
      </c>
      <c r="E24" s="108"/>
      <c r="F24" s="107" t="str">
        <f t="shared" si="1"/>
        <v>0</v>
      </c>
      <c r="G24" s="62">
        <f t="shared" ref="G24:G25" si="2">IF(E24&gt;0,F24*$C$7%,0)</f>
        <v>0</v>
      </c>
      <c r="H24" s="98"/>
      <c r="I24" s="93"/>
      <c r="J24" s="93"/>
      <c r="K24" s="93"/>
    </row>
    <row r="25" spans="1:11" ht="14" customHeight="1">
      <c r="A25" s="61" t="s">
        <v>0</v>
      </c>
      <c r="B25" s="103"/>
      <c r="C25" s="104"/>
      <c r="D25" s="40" t="str">
        <f t="shared" si="0"/>
        <v>0</v>
      </c>
      <c r="E25" s="108"/>
      <c r="F25" s="107" t="str">
        <f t="shared" si="1"/>
        <v>0</v>
      </c>
      <c r="G25" s="62">
        <f t="shared" si="2"/>
        <v>0</v>
      </c>
      <c r="H25" s="98"/>
      <c r="I25" s="93"/>
      <c r="J25" s="93"/>
      <c r="K25" s="93"/>
    </row>
    <row r="26" spans="1:11" ht="14" customHeight="1">
      <c r="A26" s="61" t="s">
        <v>67</v>
      </c>
      <c r="B26" s="103"/>
      <c r="C26" s="42"/>
      <c r="D26" s="43"/>
      <c r="E26" s="108"/>
      <c r="F26" s="107" t="str">
        <f t="shared" si="1"/>
        <v>0</v>
      </c>
      <c r="G26" s="63"/>
      <c r="H26" s="98"/>
      <c r="I26" s="93"/>
      <c r="J26" s="93"/>
      <c r="K26" s="93"/>
    </row>
    <row r="27" spans="1:11" ht="14" customHeight="1">
      <c r="A27" s="61" t="s">
        <v>63</v>
      </c>
      <c r="B27" s="103"/>
      <c r="C27" s="104"/>
      <c r="D27" s="40" t="str">
        <f>IF(C27&gt;0,B27*$C$7%,"0")</f>
        <v>0</v>
      </c>
      <c r="E27" s="108"/>
      <c r="F27" s="107" t="str">
        <f t="shared" si="1"/>
        <v>0</v>
      </c>
      <c r="G27" s="62">
        <f>IF(E27&gt;0,F27*$C$7%,0)</f>
        <v>0</v>
      </c>
      <c r="H27" s="98"/>
      <c r="I27" s="93"/>
      <c r="J27" s="93"/>
      <c r="K27" s="93"/>
    </row>
    <row r="28" spans="1:11" ht="14" customHeight="1">
      <c r="A28" s="61" t="s">
        <v>106</v>
      </c>
      <c r="B28" s="103"/>
      <c r="C28" s="104"/>
      <c r="D28" s="40" t="str">
        <f>IF(C28&gt;0,B28*$C$7%,"0")</f>
        <v>0</v>
      </c>
      <c r="E28" s="108"/>
      <c r="F28" s="107" t="str">
        <f>IF(E28&gt;0,B28,"0")</f>
        <v>0</v>
      </c>
      <c r="G28" s="62">
        <f>IF(E28&gt;0,F28*$C$7%,0)</f>
        <v>0</v>
      </c>
      <c r="H28" s="98"/>
      <c r="I28" s="93"/>
      <c r="J28" s="93"/>
      <c r="K28" s="93"/>
    </row>
    <row r="29" spans="1:11" ht="14" customHeight="1">
      <c r="A29" s="61" t="s">
        <v>62</v>
      </c>
      <c r="B29" s="103"/>
      <c r="C29" s="104"/>
      <c r="D29" s="40" t="str">
        <f t="shared" si="0"/>
        <v>0</v>
      </c>
      <c r="E29" s="108"/>
      <c r="F29" s="107" t="str">
        <f t="shared" si="1"/>
        <v>0</v>
      </c>
      <c r="G29" s="62">
        <f t="shared" ref="G29:G32" si="3">IF(E29&gt;0,F29*$C$7%,0)</f>
        <v>0</v>
      </c>
      <c r="H29" s="98"/>
      <c r="I29" s="93"/>
      <c r="J29" s="93"/>
      <c r="K29" s="93"/>
    </row>
    <row r="30" spans="1:11" ht="14" customHeight="1">
      <c r="A30" s="61" t="s">
        <v>66</v>
      </c>
      <c r="B30" s="103"/>
      <c r="C30" s="104"/>
      <c r="D30" s="40" t="str">
        <f t="shared" si="0"/>
        <v>0</v>
      </c>
      <c r="E30" s="108"/>
      <c r="F30" s="107"/>
      <c r="G30" s="62">
        <f t="shared" si="3"/>
        <v>0</v>
      </c>
      <c r="H30" s="98"/>
      <c r="I30" s="93"/>
      <c r="J30" s="93"/>
      <c r="K30" s="93"/>
    </row>
    <row r="31" spans="1:11" ht="14" customHeight="1">
      <c r="A31" s="61" t="s">
        <v>66</v>
      </c>
      <c r="B31" s="103"/>
      <c r="C31" s="104"/>
      <c r="D31" s="40" t="str">
        <f t="shared" si="0"/>
        <v>0</v>
      </c>
      <c r="E31" s="108"/>
      <c r="F31" s="107"/>
      <c r="G31" s="62">
        <f t="shared" si="3"/>
        <v>0</v>
      </c>
      <c r="H31" s="98"/>
      <c r="I31" s="93"/>
      <c r="J31" s="93"/>
      <c r="K31" s="93"/>
    </row>
    <row r="32" spans="1:11" ht="14" customHeight="1">
      <c r="A32" s="61" t="s">
        <v>66</v>
      </c>
      <c r="B32" s="103"/>
      <c r="C32" s="104"/>
      <c r="D32" s="40" t="str">
        <f t="shared" si="0"/>
        <v>0</v>
      </c>
      <c r="E32" s="108"/>
      <c r="F32" s="107"/>
      <c r="G32" s="62">
        <f t="shared" si="3"/>
        <v>0</v>
      </c>
      <c r="H32" s="98"/>
      <c r="I32" s="93"/>
      <c r="J32" s="93"/>
      <c r="K32" s="93"/>
    </row>
    <row r="33" spans="1:11" ht="21" customHeight="1">
      <c r="A33" s="59" t="s">
        <v>70</v>
      </c>
      <c r="B33" s="35"/>
      <c r="C33" s="100"/>
      <c r="D33" s="41"/>
      <c r="E33" s="34"/>
      <c r="F33" s="36"/>
      <c r="G33" s="64"/>
      <c r="H33" s="98"/>
      <c r="I33" s="93"/>
      <c r="J33" s="93"/>
      <c r="K33" s="93"/>
    </row>
    <row r="34" spans="1:11" ht="14" customHeight="1">
      <c r="A34" s="61" t="s">
        <v>77</v>
      </c>
      <c r="B34" s="103"/>
      <c r="C34" s="104"/>
      <c r="D34" s="40" t="str">
        <f t="shared" si="0"/>
        <v>0</v>
      </c>
      <c r="E34" s="108"/>
      <c r="F34" s="107" t="str">
        <f>IF(E34&gt;0,B34,"0")</f>
        <v>0</v>
      </c>
      <c r="G34" s="62">
        <f>IF(E34&gt;0,F34*C7%,0)</f>
        <v>0</v>
      </c>
      <c r="H34" s="98"/>
      <c r="I34" s="93"/>
      <c r="J34" s="93"/>
      <c r="K34" s="93"/>
    </row>
    <row r="35" spans="1:11" ht="14" customHeight="1">
      <c r="A35" s="61" t="s">
        <v>78</v>
      </c>
      <c r="B35" s="103"/>
      <c r="C35" s="42"/>
      <c r="D35" s="43"/>
      <c r="E35" s="108"/>
      <c r="F35" s="107" t="str">
        <f t="shared" ref="F35:F41" si="4">IF(E35&gt;0,B35,"0")</f>
        <v>0</v>
      </c>
      <c r="G35" s="63"/>
      <c r="H35" s="98"/>
      <c r="I35" s="93"/>
      <c r="J35" s="93"/>
      <c r="K35" s="93"/>
    </row>
    <row r="36" spans="1:11" ht="14" customHeight="1">
      <c r="A36" s="61" t="s">
        <v>99</v>
      </c>
      <c r="B36" s="103"/>
      <c r="C36" s="42"/>
      <c r="D36" s="43"/>
      <c r="E36" s="108"/>
      <c r="F36" s="107" t="str">
        <f t="shared" si="4"/>
        <v>0</v>
      </c>
      <c r="G36" s="63"/>
      <c r="H36" s="98"/>
      <c r="I36" s="93"/>
      <c r="J36" s="93"/>
      <c r="K36" s="93"/>
    </row>
    <row r="37" spans="1:11" ht="14" customHeight="1">
      <c r="A37" s="61" t="s">
        <v>79</v>
      </c>
      <c r="B37" s="103"/>
      <c r="C37" s="104"/>
      <c r="D37" s="40" t="str">
        <f t="shared" si="0"/>
        <v>0</v>
      </c>
      <c r="E37" s="108"/>
      <c r="F37" s="107" t="str">
        <f t="shared" si="4"/>
        <v>0</v>
      </c>
      <c r="G37" s="62">
        <f>IF(E37&gt;0,F37*$C$7%,0)</f>
        <v>0</v>
      </c>
      <c r="H37" s="98"/>
      <c r="I37" s="93"/>
      <c r="J37" s="93"/>
      <c r="K37" s="93"/>
    </row>
    <row r="38" spans="1:11" ht="14" customHeight="1">
      <c r="A38" s="61" t="s">
        <v>71</v>
      </c>
      <c r="B38" s="103"/>
      <c r="C38" s="42"/>
      <c r="D38" s="43"/>
      <c r="E38" s="44"/>
      <c r="F38" s="44"/>
      <c r="G38" s="63"/>
      <c r="H38" s="98"/>
      <c r="I38" s="93"/>
      <c r="J38" s="93"/>
      <c r="K38" s="93"/>
    </row>
    <row r="39" spans="1:11" ht="14" customHeight="1">
      <c r="A39" s="61" t="s">
        <v>72</v>
      </c>
      <c r="B39" s="103"/>
      <c r="C39" s="104"/>
      <c r="D39" s="40" t="str">
        <f t="shared" si="0"/>
        <v>0</v>
      </c>
      <c r="E39" s="108"/>
      <c r="F39" s="107" t="str">
        <f t="shared" si="4"/>
        <v>0</v>
      </c>
      <c r="G39" s="62">
        <f t="shared" ref="G39:G41" si="5">IF(E39&gt;0,F39*$C$7%,0)</f>
        <v>0</v>
      </c>
      <c r="H39" s="98"/>
      <c r="I39" s="93"/>
      <c r="J39" s="93"/>
      <c r="K39" s="93"/>
    </row>
    <row r="40" spans="1:11" ht="14" customHeight="1">
      <c r="A40" s="61" t="s">
        <v>73</v>
      </c>
      <c r="B40" s="103"/>
      <c r="C40" s="104"/>
      <c r="D40" s="40" t="str">
        <f t="shared" si="0"/>
        <v>0</v>
      </c>
      <c r="E40" s="108"/>
      <c r="F40" s="107" t="str">
        <f t="shared" si="4"/>
        <v>0</v>
      </c>
      <c r="G40" s="62">
        <f t="shared" si="5"/>
        <v>0</v>
      </c>
      <c r="H40" s="98"/>
      <c r="I40" s="93"/>
      <c r="J40" s="93"/>
      <c r="K40" s="93"/>
    </row>
    <row r="41" spans="1:11" ht="15" customHeight="1" thickBot="1">
      <c r="A41" s="65" t="s">
        <v>66</v>
      </c>
      <c r="B41" s="123"/>
      <c r="C41" s="104"/>
      <c r="D41" s="46" t="str">
        <f t="shared" si="0"/>
        <v>0</v>
      </c>
      <c r="E41" s="108"/>
      <c r="F41" s="109" t="str">
        <f t="shared" si="4"/>
        <v>0</v>
      </c>
      <c r="G41" s="62">
        <f t="shared" si="5"/>
        <v>0</v>
      </c>
      <c r="H41" s="98"/>
      <c r="I41" s="93"/>
      <c r="J41" s="93"/>
      <c r="K41" s="93"/>
    </row>
    <row r="42" spans="1:11" ht="14" thickBot="1">
      <c r="A42" s="66"/>
      <c r="B42" s="67">
        <f>SUM(B17:B41)</f>
        <v>0</v>
      </c>
      <c r="C42" s="68"/>
      <c r="D42" s="69">
        <f>SUM(D17:D41)</f>
        <v>0</v>
      </c>
      <c r="E42" s="68"/>
      <c r="F42" s="69">
        <f>SUM(F17:F41)</f>
        <v>0</v>
      </c>
      <c r="G42" s="70">
        <f>SUM(G17:G41)</f>
        <v>0</v>
      </c>
      <c r="H42" s="32"/>
    </row>
    <row r="43" spans="1:11" ht="5" customHeight="1">
      <c r="C43" s="2"/>
      <c r="D43" s="2"/>
    </row>
    <row r="44" spans="1:11" ht="16">
      <c r="A44" s="58" t="s">
        <v>35</v>
      </c>
      <c r="C44" s="2"/>
      <c r="D44" s="2"/>
      <c r="J44" s="33"/>
    </row>
    <row r="45" spans="1:11" ht="16">
      <c r="A45" s="58" t="s">
        <v>80</v>
      </c>
      <c r="B45" s="3"/>
      <c r="J45" s="33"/>
    </row>
    <row r="46" spans="1:11" ht="14" thickBot="1">
      <c r="B46" s="3"/>
    </row>
    <row r="47" spans="1:11" ht="56" customHeight="1">
      <c r="A47" s="186" t="str">
        <f>"Beregning af gennemsnitlig beskæftigelsesgrad samt optjente særlige feriedage "&amp;C4&amp;""</f>
        <v xml:space="preserve">Beregning af gennemsnitlig beskæftigelsesgrad samt optjente særlige feriedage </v>
      </c>
      <c r="B47" s="187"/>
      <c r="C47" s="187"/>
      <c r="D47" s="187"/>
      <c r="E47" s="187"/>
      <c r="F47" s="188"/>
    </row>
    <row r="48" spans="1:11" ht="16" customHeight="1">
      <c r="A48" s="71" t="s">
        <v>32</v>
      </c>
      <c r="B48" s="47" t="s">
        <v>33</v>
      </c>
      <c r="C48" s="47" t="s">
        <v>1</v>
      </c>
      <c r="D48" s="47" t="s">
        <v>2</v>
      </c>
      <c r="E48" s="189" t="s">
        <v>88</v>
      </c>
      <c r="F48" s="196" t="s">
        <v>89</v>
      </c>
    </row>
    <row r="49" spans="1:12" ht="16">
      <c r="A49" s="72" t="s">
        <v>82</v>
      </c>
      <c r="B49" s="48" t="s">
        <v>82</v>
      </c>
      <c r="C49" s="48" t="s">
        <v>83</v>
      </c>
      <c r="D49" s="48" t="s">
        <v>87</v>
      </c>
      <c r="E49" s="190"/>
      <c r="F49" s="197"/>
    </row>
    <row r="50" spans="1:12" ht="16">
      <c r="A50" s="110"/>
      <c r="B50" s="111"/>
      <c r="C50" s="112"/>
      <c r="D50" s="113"/>
      <c r="E50" s="49">
        <f>C50*D50</f>
        <v>0</v>
      </c>
      <c r="F50" s="73">
        <f>C50*2.08*(D50&gt;0)</f>
        <v>0</v>
      </c>
    </row>
    <row r="51" spans="1:12" ht="16">
      <c r="A51" s="114"/>
      <c r="B51" s="115"/>
      <c r="C51" s="116"/>
      <c r="D51" s="117"/>
      <c r="E51" s="50">
        <f>C51*D51</f>
        <v>0</v>
      </c>
      <c r="F51" s="74">
        <f>C51*2.08*(D51&gt;0)</f>
        <v>0</v>
      </c>
    </row>
    <row r="52" spans="1:12" ht="16">
      <c r="A52" s="118"/>
      <c r="B52" s="119"/>
      <c r="C52" s="120"/>
      <c r="D52" s="121"/>
      <c r="E52" s="50">
        <f t="shared" ref="E52:E56" si="6">C52*D52</f>
        <v>0</v>
      </c>
      <c r="F52" s="75">
        <f t="shared" ref="F52:F56" si="7">C52*2.08*(D52&gt;0)</f>
        <v>0</v>
      </c>
    </row>
    <row r="53" spans="1:12" ht="16">
      <c r="A53" s="118"/>
      <c r="B53" s="119"/>
      <c r="C53" s="120"/>
      <c r="D53" s="121"/>
      <c r="E53" s="50">
        <f t="shared" si="6"/>
        <v>0</v>
      </c>
      <c r="F53" s="75">
        <f t="shared" si="7"/>
        <v>0</v>
      </c>
    </row>
    <row r="54" spans="1:12" ht="16">
      <c r="A54" s="118"/>
      <c r="B54" s="119"/>
      <c r="C54" s="120"/>
      <c r="D54" s="121"/>
      <c r="E54" s="50">
        <f t="shared" si="6"/>
        <v>0</v>
      </c>
      <c r="F54" s="75">
        <f t="shared" si="7"/>
        <v>0</v>
      </c>
    </row>
    <row r="55" spans="1:12" ht="16">
      <c r="A55" s="118"/>
      <c r="B55" s="119"/>
      <c r="C55" s="120"/>
      <c r="D55" s="121"/>
      <c r="E55" s="50">
        <f t="shared" si="6"/>
        <v>0</v>
      </c>
      <c r="F55" s="75">
        <f t="shared" si="7"/>
        <v>0</v>
      </c>
    </row>
    <row r="56" spans="1:12" ht="16">
      <c r="A56" s="159" t="s">
        <v>105</v>
      </c>
      <c r="B56" s="160"/>
      <c r="C56" s="126">
        <v>1</v>
      </c>
      <c r="D56" s="122"/>
      <c r="E56" s="50">
        <f t="shared" si="6"/>
        <v>0</v>
      </c>
      <c r="F56" s="75">
        <f t="shared" si="7"/>
        <v>0</v>
      </c>
    </row>
    <row r="57" spans="1:12" ht="16">
      <c r="A57" s="76" t="s">
        <v>81</v>
      </c>
      <c r="B57" s="51"/>
      <c r="C57" s="52">
        <f>SUMIF(D50:D55,"&gt;0",C50:C55)</f>
        <v>0</v>
      </c>
      <c r="D57" s="53"/>
      <c r="E57" s="54">
        <f>SUM(E50:E55)+D56/160.33</f>
        <v>0</v>
      </c>
      <c r="F57" s="77">
        <f>SUM(F50:F56)</f>
        <v>0</v>
      </c>
    </row>
    <row r="58" spans="1:12" ht="17" thickBot="1">
      <c r="A58" s="78" t="s">
        <v>3</v>
      </c>
      <c r="B58" s="79" t="str">
        <f>"("&amp;TEXT(E57,"0,0000")&amp;" / "&amp;TEXT(C57,"0 00/00")&amp;")"</f>
        <v>(0,0000 / 0 00/01)</v>
      </c>
      <c r="C58" s="80"/>
      <c r="D58" s="81"/>
      <c r="E58" s="82"/>
      <c r="F58" s="83" t="e">
        <f>ROUND(E57/C57,4)</f>
        <v>#DIV/0!</v>
      </c>
    </row>
    <row r="59" spans="1:12" ht="14" thickBot="1"/>
    <row r="60" spans="1:12" ht="26" thickBot="1">
      <c r="A60" s="161" t="s">
        <v>102</v>
      </c>
      <c r="B60" s="162"/>
      <c r="C60" s="162"/>
      <c r="D60" s="162"/>
      <c r="E60" s="162"/>
      <c r="F60" s="163"/>
    </row>
    <row r="61" spans="1:12" ht="16">
      <c r="A61" s="178" t="str">
        <f>"Gennemsnitlig beskæftigelsesgrad i "&amp;C4&amp;":"</f>
        <v>Gennemsnitlig beskæftigelsesgrad i :</v>
      </c>
      <c r="B61" s="179"/>
      <c r="C61" s="179"/>
      <c r="D61" s="179"/>
      <c r="E61" s="179"/>
      <c r="F61" s="84" t="e">
        <f>F58</f>
        <v>#DIV/0!</v>
      </c>
    </row>
    <row r="62" spans="1:12" ht="16">
      <c r="A62" s="139" t="str">
        <f>"beskæftigelsesgrad i "&amp;'løn særlige feriedage'!C8&amp;" "&amp;(C4+1)&amp;""</f>
        <v>beskæftigelsesgrad i  1</v>
      </c>
      <c r="B62" s="140"/>
      <c r="C62" s="140"/>
      <c r="D62" s="140"/>
      <c r="E62" s="140"/>
      <c r="F62" s="85">
        <f>C6</f>
        <v>0</v>
      </c>
    </row>
    <row r="63" spans="1:12" ht="17" thickBot="1">
      <c r="A63" s="176" t="s">
        <v>91</v>
      </c>
      <c r="B63" s="177"/>
      <c r="C63" s="177"/>
      <c r="D63" s="177"/>
      <c r="E63" s="177"/>
      <c r="F63" s="86" t="e">
        <f>F61-F62</f>
        <v>#DIV/0!</v>
      </c>
    </row>
    <row r="64" spans="1:12" ht="31" customHeight="1">
      <c r="A64" s="174" t="s">
        <v>95</v>
      </c>
      <c r="B64" s="175"/>
      <c r="C64" s="175"/>
      <c r="D64" s="175"/>
      <c r="E64" s="175"/>
      <c r="F64" s="87" t="e">
        <f>IF(AND(C10&gt;0,F63&lt;&gt;0),(G42/C7%/C6*1*F63*C13%*C11),0)</f>
        <v>#DIV/0!</v>
      </c>
      <c r="G64" s="124"/>
      <c r="H64" s="130"/>
      <c r="I64" s="130"/>
      <c r="J64" s="130"/>
      <c r="K64" s="130"/>
      <c r="L64" s="130"/>
    </row>
    <row r="65" spans="1:12" ht="27" customHeight="1">
      <c r="A65" s="170" t="s">
        <v>96</v>
      </c>
      <c r="B65" s="171"/>
      <c r="C65" s="171"/>
      <c r="D65" s="171"/>
      <c r="E65" s="171"/>
      <c r="F65" s="88" t="e">
        <f>IF(AND(C10&gt;0,F63&lt;&gt;0),(((F42)-(G42/C7%))/C6*1*F63*C13%*C11),0)</f>
        <v>#DIV/0!</v>
      </c>
      <c r="G65" s="124"/>
      <c r="H65" s="130"/>
      <c r="I65" s="130"/>
      <c r="J65" s="130"/>
      <c r="K65" s="130"/>
      <c r="L65" s="130"/>
    </row>
    <row r="66" spans="1:12" ht="19" customHeight="1">
      <c r="A66" s="170" t="s">
        <v>94</v>
      </c>
      <c r="B66" s="171"/>
      <c r="C66" s="171"/>
      <c r="D66" s="171"/>
      <c r="E66" s="171"/>
      <c r="F66" s="89">
        <f>IF(C12&gt;0,D42/C7%*C12*C13%*-1,0)</f>
        <v>0</v>
      </c>
      <c r="G66" s="125"/>
      <c r="H66" s="97"/>
      <c r="I66" s="97"/>
      <c r="J66" s="97"/>
      <c r="K66" s="97"/>
      <c r="L66" s="97"/>
    </row>
    <row r="67" spans="1:12" ht="20" customHeight="1">
      <c r="A67" s="95" t="s">
        <v>93</v>
      </c>
      <c r="B67" s="96"/>
      <c r="C67" s="96"/>
      <c r="D67" s="96"/>
      <c r="E67" s="96"/>
      <c r="F67" s="89">
        <f>IF(C12&gt;0,B42*C12*C13%*-1-F66,0)</f>
        <v>0</v>
      </c>
      <c r="G67" s="125"/>
      <c r="H67" s="97"/>
      <c r="I67" s="97"/>
      <c r="J67" s="97"/>
      <c r="K67" s="97"/>
      <c r="L67" s="97"/>
    </row>
    <row r="68" spans="1:12" ht="19" customHeight="1">
      <c r="A68" s="170" t="s">
        <v>97</v>
      </c>
      <c r="B68" s="171"/>
      <c r="C68" s="171"/>
      <c r="D68" s="171"/>
      <c r="E68" s="171"/>
      <c r="F68" s="89" t="e">
        <f>F64*C7/100</f>
        <v>#DIV/0!</v>
      </c>
    </row>
    <row r="69" spans="1:12" ht="22" customHeight="1" thickBot="1">
      <c r="A69" s="172" t="s">
        <v>98</v>
      </c>
      <c r="B69" s="173"/>
      <c r="C69" s="173"/>
      <c r="D69" s="173"/>
      <c r="E69" s="173"/>
      <c r="F69" s="90">
        <f>IF(C12&gt;0,D42*C12*C13%*-1,0)</f>
        <v>0</v>
      </c>
    </row>
  </sheetData>
  <sheetProtection sheet="1" objects="1" scenarios="1"/>
  <mergeCells count="44">
    <mergeCell ref="A3:B3"/>
    <mergeCell ref="A47:F47"/>
    <mergeCell ref="E48:E49"/>
    <mergeCell ref="C3:G3"/>
    <mergeCell ref="C6:G6"/>
    <mergeCell ref="F48:F49"/>
    <mergeCell ref="H11:J11"/>
    <mergeCell ref="A4:B4"/>
    <mergeCell ref="A5:B5"/>
    <mergeCell ref="C4:G4"/>
    <mergeCell ref="C5:G5"/>
    <mergeCell ref="A10:B10"/>
    <mergeCell ref="A11:B11"/>
    <mergeCell ref="C11:G11"/>
    <mergeCell ref="A15:G15"/>
    <mergeCell ref="A68:E68"/>
    <mergeCell ref="A69:E69"/>
    <mergeCell ref="A64:E64"/>
    <mergeCell ref="A63:E63"/>
    <mergeCell ref="A61:E61"/>
    <mergeCell ref="A65:E65"/>
    <mergeCell ref="A66:E66"/>
    <mergeCell ref="C10:G10"/>
    <mergeCell ref="A6:B6"/>
    <mergeCell ref="A7:B7"/>
    <mergeCell ref="A8:B8"/>
    <mergeCell ref="A9:B9"/>
    <mergeCell ref="C8:G8"/>
    <mergeCell ref="H65:L65"/>
    <mergeCell ref="H64:L64"/>
    <mergeCell ref="H18:J18"/>
    <mergeCell ref="A1:G1"/>
    <mergeCell ref="A2:G2"/>
    <mergeCell ref="A62:E62"/>
    <mergeCell ref="C13:G13"/>
    <mergeCell ref="C9:G9"/>
    <mergeCell ref="C12:G12"/>
    <mergeCell ref="A12:B12"/>
    <mergeCell ref="A13:B13"/>
    <mergeCell ref="I7:J7"/>
    <mergeCell ref="C7:G7"/>
    <mergeCell ref="H13:K13"/>
    <mergeCell ref="A56:B56"/>
    <mergeCell ref="A60:F60"/>
  </mergeCells>
  <phoneticPr fontId="10"/>
  <dataValidations count="2">
    <dataValidation type="list" allowBlank="1" showInputMessage="1" showErrorMessage="1" sqref="E33" xr:uid="{00000000-0002-0000-0100-000000000000}">
      <formula1>$J$17:$J$18</formula1>
    </dataValidation>
    <dataValidation type="list" allowBlank="1" showInputMessage="1" showErrorMessage="1" sqref="C39:C41 C37 C17 C19:C20 C22:C25 C27:C34 E17:E19 E23:E32 E34:E37 E39:E41" xr:uid="{00000000-0002-0000-0100-000001000000}">
      <formula1>$K$17:$K$18</formula1>
    </dataValidation>
  </dataValidations>
  <pageMargins left="0.74803149606299213" right="0.74803149606299213" top="0.98425196850393704" bottom="0.98425196850393704" header="0.51181102362204722" footer="0.51181102362204722"/>
  <pageSetup paperSize="9" scale="51" orientation="portrait" horizontalDpi="4294967292" verticalDpi="4294967292"/>
  <headerFooter>
    <oddFooter>&amp;L&amp;F, &amp;A&amp;CFriskolernes Kontor &amp;ROle Mikkelsen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0"/>
  <sheetViews>
    <sheetView workbookViewId="0">
      <selection activeCell="B1" sqref="B1:L20"/>
    </sheetView>
  </sheetViews>
  <sheetFormatPr baseColWidth="10" defaultRowHeight="14"/>
  <cols>
    <col min="1" max="1" width="5" bestFit="1" customWidth="1"/>
    <col min="2" max="2" width="7.5703125" bestFit="1" customWidth="1"/>
    <col min="3" max="5" width="6.5703125" customWidth="1"/>
    <col min="6" max="6" width="5.42578125" bestFit="1" customWidth="1"/>
    <col min="7" max="7" width="13" customWidth="1"/>
    <col min="8" max="8" width="7" bestFit="1" customWidth="1"/>
    <col min="9" max="9" width="7.85546875" customWidth="1"/>
    <col min="10" max="10" width="7" bestFit="1" customWidth="1"/>
    <col min="11" max="11" width="6.28515625" bestFit="1" customWidth="1"/>
    <col min="12" max="12" width="4.5703125" bestFit="1" customWidth="1"/>
    <col min="13" max="13" width="4.85546875" bestFit="1" customWidth="1"/>
    <col min="14" max="14" width="4.5703125" bestFit="1" customWidth="1"/>
    <col min="15" max="15" width="6.7109375" bestFit="1" customWidth="1"/>
    <col min="16" max="16" width="5.5703125" bestFit="1" customWidth="1"/>
  </cols>
  <sheetData>
    <row r="1" spans="1:16">
      <c r="A1" s="203"/>
      <c r="B1" s="203"/>
      <c r="C1" s="212" t="s">
        <v>29</v>
      </c>
      <c r="D1" s="213"/>
      <c r="E1" s="213"/>
      <c r="F1" s="205"/>
      <c r="G1" s="209" t="s">
        <v>30</v>
      </c>
      <c r="H1" s="202"/>
      <c r="I1" s="203"/>
      <c r="J1" s="203"/>
      <c r="K1" s="203"/>
      <c r="L1" s="203"/>
      <c r="M1" s="203"/>
      <c r="N1" s="203"/>
      <c r="O1" s="203"/>
      <c r="P1" s="203"/>
    </row>
    <row r="2" spans="1:16">
      <c r="A2" s="203"/>
      <c r="B2" s="203"/>
      <c r="C2" s="213"/>
      <c r="D2" s="213"/>
      <c r="E2" s="213"/>
      <c r="F2" s="205"/>
      <c r="G2" s="210"/>
      <c r="H2" s="202"/>
      <c r="I2" s="203"/>
      <c r="J2" s="203"/>
      <c r="K2" s="203"/>
      <c r="L2" s="203"/>
      <c r="M2" s="203"/>
      <c r="N2" s="203"/>
      <c r="O2" s="203"/>
      <c r="P2" s="203"/>
    </row>
    <row r="3" spans="1:16">
      <c r="A3" s="203"/>
      <c r="B3" s="204"/>
      <c r="C3" s="214"/>
      <c r="D3" s="214"/>
      <c r="E3" s="214"/>
      <c r="F3" s="206"/>
      <c r="G3" s="211"/>
      <c r="H3" s="207"/>
      <c r="I3" s="204"/>
      <c r="J3" s="204"/>
      <c r="K3" s="204"/>
      <c r="L3" s="204"/>
      <c r="M3" s="203"/>
      <c r="N3" s="203"/>
      <c r="O3" s="203"/>
      <c r="P3" s="203"/>
    </row>
    <row r="4" spans="1:16" ht="15">
      <c r="A4" s="198"/>
      <c r="B4" s="199" t="s">
        <v>37</v>
      </c>
      <c r="C4" s="5" t="s">
        <v>38</v>
      </c>
      <c r="D4" s="5" t="s">
        <v>40</v>
      </c>
      <c r="E4" s="5" t="s">
        <v>41</v>
      </c>
      <c r="F4" s="5" t="s">
        <v>42</v>
      </c>
      <c r="G4" s="8" t="s">
        <v>47</v>
      </c>
      <c r="H4" s="5" t="s">
        <v>53</v>
      </c>
      <c r="I4" s="5" t="s">
        <v>56</v>
      </c>
      <c r="J4" s="12" t="s">
        <v>59</v>
      </c>
      <c r="K4" s="5" t="s">
        <v>11</v>
      </c>
      <c r="L4" s="5" t="s">
        <v>11</v>
      </c>
      <c r="M4" s="202" t="s">
        <v>45</v>
      </c>
      <c r="N4" s="203" t="s">
        <v>12</v>
      </c>
      <c r="O4" s="208">
        <v>37103</v>
      </c>
      <c r="P4" s="208">
        <v>37102</v>
      </c>
    </row>
    <row r="5" spans="1:16" ht="15">
      <c r="A5" s="198"/>
      <c r="B5" s="200"/>
      <c r="C5" s="6" t="s">
        <v>39</v>
      </c>
      <c r="D5" s="6" t="s">
        <v>38</v>
      </c>
      <c r="E5" s="6" t="s">
        <v>39</v>
      </c>
      <c r="F5" s="6" t="s">
        <v>43</v>
      </c>
      <c r="G5" s="9" t="s">
        <v>48</v>
      </c>
      <c r="H5" s="6" t="s">
        <v>45</v>
      </c>
      <c r="I5" s="6" t="s">
        <v>57</v>
      </c>
      <c r="J5" s="13" t="s">
        <v>60</v>
      </c>
      <c r="K5" s="6" t="s">
        <v>61</v>
      </c>
      <c r="L5" s="6" t="s">
        <v>31</v>
      </c>
      <c r="M5" s="202"/>
      <c r="N5" s="203"/>
      <c r="O5" s="208"/>
      <c r="P5" s="208"/>
    </row>
    <row r="6" spans="1:16" ht="15">
      <c r="A6" s="198"/>
      <c r="B6" s="200"/>
      <c r="C6" s="6"/>
      <c r="D6" s="6" t="s">
        <v>39</v>
      </c>
      <c r="E6" s="6"/>
      <c r="F6" s="6" t="s">
        <v>36</v>
      </c>
      <c r="G6" s="9" t="s">
        <v>49</v>
      </c>
      <c r="H6" s="11"/>
      <c r="I6" s="6" t="s">
        <v>58</v>
      </c>
      <c r="J6" s="13" t="s">
        <v>61</v>
      </c>
      <c r="K6" s="6" t="s">
        <v>45</v>
      </c>
      <c r="L6" s="6" t="s">
        <v>45</v>
      </c>
      <c r="M6" s="202"/>
      <c r="N6" s="203"/>
      <c r="O6" s="208"/>
      <c r="P6" s="208"/>
    </row>
    <row r="7" spans="1:16" ht="13" customHeight="1">
      <c r="A7" s="198"/>
      <c r="B7" s="200"/>
      <c r="C7" s="6"/>
      <c r="D7" s="6"/>
      <c r="E7" s="6"/>
      <c r="F7" s="6" t="s">
        <v>44</v>
      </c>
      <c r="G7" s="9" t="s">
        <v>50</v>
      </c>
      <c r="H7" s="11"/>
      <c r="I7" s="11"/>
      <c r="J7" s="13" t="s">
        <v>10</v>
      </c>
      <c r="K7" s="6"/>
      <c r="L7" s="6"/>
      <c r="M7" s="202"/>
      <c r="N7" s="203"/>
      <c r="O7" s="208"/>
      <c r="P7" s="208"/>
    </row>
    <row r="8" spans="1:16" ht="15">
      <c r="A8" s="198"/>
      <c r="B8" s="200"/>
      <c r="C8" s="6"/>
      <c r="D8" s="6"/>
      <c r="E8" s="6"/>
      <c r="F8" s="6" t="s">
        <v>45</v>
      </c>
      <c r="G8" s="9" t="s">
        <v>51</v>
      </c>
      <c r="H8" s="6" t="s">
        <v>54</v>
      </c>
      <c r="I8" s="6" t="s">
        <v>54</v>
      </c>
      <c r="J8" s="13"/>
      <c r="K8" s="6"/>
      <c r="L8" s="6"/>
      <c r="M8" s="202"/>
      <c r="N8" s="203"/>
      <c r="O8" s="208"/>
      <c r="P8" s="208"/>
    </row>
    <row r="9" spans="1:16" ht="15">
      <c r="A9" s="198"/>
      <c r="B9" s="201"/>
      <c r="C9" s="7"/>
      <c r="D9" s="7"/>
      <c r="E9" s="7"/>
      <c r="F9" s="7" t="s">
        <v>46</v>
      </c>
      <c r="G9" s="10" t="s">
        <v>52</v>
      </c>
      <c r="H9" s="7" t="s">
        <v>55</v>
      </c>
      <c r="I9" s="7" t="s">
        <v>55</v>
      </c>
      <c r="J9" s="14"/>
      <c r="K9" s="7"/>
      <c r="L9" s="7"/>
      <c r="M9" s="202"/>
      <c r="N9" s="203"/>
      <c r="O9" s="208"/>
      <c r="P9" s="208"/>
    </row>
    <row r="10" spans="1:16" ht="16">
      <c r="A10" s="4"/>
      <c r="B10" s="15"/>
      <c r="C10" s="31">
        <v>34327</v>
      </c>
      <c r="D10" s="31">
        <v>34328</v>
      </c>
      <c r="E10" s="31">
        <v>33969</v>
      </c>
      <c r="F10" s="16"/>
      <c r="G10" s="15"/>
      <c r="H10" s="15"/>
      <c r="I10" s="15"/>
      <c r="J10" s="17"/>
      <c r="K10" s="18"/>
      <c r="L10" s="18"/>
      <c r="M10" s="4"/>
      <c r="N10" s="4"/>
      <c r="O10" s="4"/>
      <c r="P10" s="4"/>
    </row>
    <row r="11" spans="1:16" ht="16">
      <c r="A11" s="21">
        <v>2008</v>
      </c>
      <c r="B11" s="22" t="s">
        <v>20</v>
      </c>
      <c r="C11" s="23" t="s">
        <v>18</v>
      </c>
      <c r="D11" s="23" t="s">
        <v>19</v>
      </c>
      <c r="E11" s="23" t="s">
        <v>18</v>
      </c>
      <c r="F11" s="23">
        <v>3</v>
      </c>
      <c r="G11" s="23">
        <v>6</v>
      </c>
      <c r="H11" s="23">
        <v>25</v>
      </c>
      <c r="I11" s="23">
        <v>34</v>
      </c>
      <c r="J11" s="24">
        <v>1672.4</v>
      </c>
      <c r="K11" s="22">
        <v>227</v>
      </c>
      <c r="L11" s="22">
        <v>113</v>
      </c>
      <c r="M11" s="4">
        <v>365</v>
      </c>
      <c r="N11" s="4">
        <v>104</v>
      </c>
      <c r="O11" s="4" t="s">
        <v>19</v>
      </c>
      <c r="P11" s="4" t="s">
        <v>19</v>
      </c>
    </row>
    <row r="12" spans="1:16" ht="16">
      <c r="A12" s="21">
        <v>2009</v>
      </c>
      <c r="B12" s="22" t="s">
        <v>21</v>
      </c>
      <c r="C12" s="23" t="s">
        <v>19</v>
      </c>
      <c r="D12" s="23" t="s">
        <v>13</v>
      </c>
      <c r="E12" s="23" t="s">
        <v>19</v>
      </c>
      <c r="F12" s="23">
        <v>2</v>
      </c>
      <c r="G12" s="23">
        <v>6</v>
      </c>
      <c r="H12" s="23">
        <v>25</v>
      </c>
      <c r="I12" s="23">
        <v>33</v>
      </c>
      <c r="J12" s="24">
        <v>1679.8</v>
      </c>
      <c r="K12" s="22">
        <v>227</v>
      </c>
      <c r="L12" s="22">
        <v>113</v>
      </c>
      <c r="M12" s="4">
        <v>365</v>
      </c>
      <c r="N12" s="4">
        <v>105</v>
      </c>
      <c r="O12" s="4" t="s">
        <v>13</v>
      </c>
      <c r="P12" s="4" t="s">
        <v>13</v>
      </c>
    </row>
    <row r="13" spans="1:16" ht="16">
      <c r="A13" s="4">
        <v>2010</v>
      </c>
      <c r="B13" s="18" t="s">
        <v>22</v>
      </c>
      <c r="C13" s="19" t="s">
        <v>13</v>
      </c>
      <c r="D13" s="19" t="s">
        <v>14</v>
      </c>
      <c r="E13" s="19" t="s">
        <v>13</v>
      </c>
      <c r="F13" s="19">
        <v>0</v>
      </c>
      <c r="G13" s="19">
        <v>6</v>
      </c>
      <c r="H13" s="19">
        <v>25</v>
      </c>
      <c r="I13" s="19">
        <v>31</v>
      </c>
      <c r="J13" s="20">
        <v>1694.6</v>
      </c>
      <c r="K13" s="18">
        <v>229</v>
      </c>
      <c r="L13" s="18">
        <v>111</v>
      </c>
      <c r="M13" s="4">
        <v>365</v>
      </c>
      <c r="N13" s="4">
        <v>105</v>
      </c>
      <c r="O13" s="4" t="s">
        <v>14</v>
      </c>
      <c r="P13" s="4" t="s">
        <v>14</v>
      </c>
    </row>
    <row r="14" spans="1:16" ht="16">
      <c r="A14" s="4">
        <v>2011</v>
      </c>
      <c r="B14" s="18" t="s">
        <v>23</v>
      </c>
      <c r="C14" s="19" t="s">
        <v>14</v>
      </c>
      <c r="D14" s="19" t="s">
        <v>15</v>
      </c>
      <c r="E14" s="19" t="s">
        <v>14</v>
      </c>
      <c r="F14" s="19">
        <v>1</v>
      </c>
      <c r="G14" s="19">
        <v>6</v>
      </c>
      <c r="H14" s="19">
        <v>25</v>
      </c>
      <c r="I14" s="19">
        <v>32</v>
      </c>
      <c r="J14" s="20">
        <v>1687.2</v>
      </c>
      <c r="K14" s="18">
        <v>230</v>
      </c>
      <c r="L14" s="18">
        <v>111</v>
      </c>
      <c r="M14" s="4">
        <v>366</v>
      </c>
      <c r="N14" s="4">
        <v>104</v>
      </c>
      <c r="O14" s="4" t="s">
        <v>15</v>
      </c>
      <c r="P14" s="4" t="s">
        <v>16</v>
      </c>
    </row>
    <row r="15" spans="1:16" ht="16">
      <c r="A15" s="4">
        <v>2012</v>
      </c>
      <c r="B15" s="18" t="s">
        <v>24</v>
      </c>
      <c r="C15" s="19" t="s">
        <v>16</v>
      </c>
      <c r="D15" s="19" t="s">
        <v>17</v>
      </c>
      <c r="E15" s="19" t="s">
        <v>16</v>
      </c>
      <c r="F15" s="19">
        <v>3</v>
      </c>
      <c r="G15" s="19">
        <v>6</v>
      </c>
      <c r="H15" s="19">
        <v>25</v>
      </c>
      <c r="I15" s="19">
        <v>34</v>
      </c>
      <c r="J15" s="20">
        <v>1672.4</v>
      </c>
      <c r="K15" s="18">
        <v>227</v>
      </c>
      <c r="L15" s="18">
        <v>113</v>
      </c>
      <c r="M15" s="4">
        <v>365</v>
      </c>
      <c r="N15" s="4">
        <v>104</v>
      </c>
      <c r="O15" s="4" t="s">
        <v>17</v>
      </c>
      <c r="P15" s="4" t="s">
        <v>17</v>
      </c>
    </row>
    <row r="16" spans="1:16" ht="16">
      <c r="A16" s="4">
        <v>2013</v>
      </c>
      <c r="B16" s="18" t="s">
        <v>25</v>
      </c>
      <c r="C16" s="27" t="str">
        <f>CHOOSE(WEEKDAY(DATE(A16,12,25)),"sø","ma","ti","on","to","fr","lø")</f>
        <v>on</v>
      </c>
      <c r="D16" s="27" t="str">
        <f>CHOOSE(WEEKDAY(DATE($A16,12,26)),"sø","ma","ti","on","to","fr","lø")</f>
        <v>to</v>
      </c>
      <c r="E16" s="27" t="str">
        <f>CHOOSE(WEEKDAY(DATE($A16+1,1,1)),"sø","ma","ti","on","to","fr","lø")</f>
        <v>on</v>
      </c>
      <c r="F16" s="27">
        <f>3-((MID(C16,2,1)="ø")*2+(MID(D16,2,1)="ø"))</f>
        <v>3</v>
      </c>
      <c r="G16" s="27">
        <v>6</v>
      </c>
      <c r="H16" s="27">
        <v>25</v>
      </c>
      <c r="I16" s="27">
        <f>F16+G16+H16</f>
        <v>34</v>
      </c>
      <c r="J16" s="28">
        <f>1924-I16*7.4</f>
        <v>1672.4</v>
      </c>
      <c r="K16" s="29">
        <f>M16-N16-I16</f>
        <v>227</v>
      </c>
      <c r="L16" s="29">
        <f>M16-K16-H16</f>
        <v>113</v>
      </c>
      <c r="M16" s="30">
        <v>365</v>
      </c>
      <c r="N16" s="30">
        <v>104</v>
      </c>
      <c r="O16" s="30" t="str">
        <f>CHOOSE(WEEKDAY(DATE($A16,8,1)),"sø","ma","ti","on","to","fr","lø")</f>
        <v>to</v>
      </c>
      <c r="P16" s="30" t="str">
        <f>CHOOSE(WEEKDAY(DATE($A16+1,7,31)),"sø","ma","ti","on","to","fr","lø")</f>
        <v>to</v>
      </c>
    </row>
    <row r="17" spans="1:16" ht="16">
      <c r="A17" s="4">
        <v>2014</v>
      </c>
      <c r="B17" s="18" t="s">
        <v>26</v>
      </c>
      <c r="C17" s="27" t="str">
        <f>CHOOSE(WEEKDAY(DATE(A17,12,25)),"sø","ma","ti","on","to","fr","lø")</f>
        <v>to</v>
      </c>
      <c r="D17" s="27" t="str">
        <f>CHOOSE(WEEKDAY(DATE($A17,12,26)),"sø","ma","ti","on","to","fr","lø")</f>
        <v>fr</v>
      </c>
      <c r="E17" s="27" t="str">
        <f>CHOOSE(WEEKDAY(DATE($A17+1,1,1)),"sø","ma","ti","on","to","fr","lø")</f>
        <v>to</v>
      </c>
      <c r="F17" s="27">
        <f>3-((MID(C17,2,1)="ø")*2+(MID(D17,2,1)="ø"))</f>
        <v>3</v>
      </c>
      <c r="G17" s="27">
        <v>6</v>
      </c>
      <c r="H17" s="27">
        <v>25</v>
      </c>
      <c r="I17" s="27">
        <f>F17+G17+H17</f>
        <v>34</v>
      </c>
      <c r="J17" s="28">
        <f>1924-I17*7.4</f>
        <v>1672.4</v>
      </c>
      <c r="K17" s="29">
        <f>M17-N17-I17</f>
        <v>227</v>
      </c>
      <c r="L17" s="29">
        <f>M17-K17-H17</f>
        <v>113</v>
      </c>
      <c r="M17" s="30">
        <v>365</v>
      </c>
      <c r="N17" s="30">
        <v>104</v>
      </c>
      <c r="O17" s="30" t="str">
        <f>CHOOSE(WEEKDAY(DATE($A17,8,1)),"sø","ma","ti","on","to","fr","lø")</f>
        <v>fr</v>
      </c>
      <c r="P17" s="30" t="str">
        <f>CHOOSE(WEEKDAY(DATE($A17+1,7,31)),"sø","ma","ti","on","to","fr","lø")</f>
        <v>fr</v>
      </c>
    </row>
    <row r="18" spans="1:16" ht="16">
      <c r="A18" s="4">
        <v>2015</v>
      </c>
      <c r="B18" s="18" t="s">
        <v>27</v>
      </c>
      <c r="C18" s="27" t="str">
        <f>CHOOSE(WEEKDAY(DATE(A18,12,25)),"sø","ma","ti","on","to","fr","lø")</f>
        <v>fr</v>
      </c>
      <c r="D18" s="27" t="str">
        <f>CHOOSE(WEEKDAY(DATE($A18,12,26)),"sø","ma","ti","on","to","fr","lø")</f>
        <v>lø</v>
      </c>
      <c r="E18" s="27" t="str">
        <f>CHOOSE(WEEKDAY(DATE($A18+1,1,1)),"sø","ma","ti","on","to","fr","lø")</f>
        <v>fr</v>
      </c>
      <c r="F18" s="27">
        <f>3-((MID(C18,2,1)="ø")*2+(MID(D18,2,1)="ø"))</f>
        <v>2</v>
      </c>
      <c r="G18" s="27">
        <v>6</v>
      </c>
      <c r="H18" s="27">
        <v>25</v>
      </c>
      <c r="I18" s="27">
        <f>F18+G18+H18</f>
        <v>33</v>
      </c>
      <c r="J18" s="28">
        <f>1924-I18*7.4</f>
        <v>1679.8</v>
      </c>
      <c r="K18" s="29">
        <f>M18-N18-I18</f>
        <v>229</v>
      </c>
      <c r="L18" s="29">
        <f>M18-K18-H18</f>
        <v>112</v>
      </c>
      <c r="M18" s="30">
        <v>366</v>
      </c>
      <c r="N18" s="30">
        <v>104</v>
      </c>
      <c r="O18" s="30" t="str">
        <f>CHOOSE(WEEKDAY(DATE($A18,8,1)),"sø","ma","ti","on","to","fr","lø")</f>
        <v>lø</v>
      </c>
      <c r="P18" s="30" t="str">
        <f>CHOOSE(WEEKDAY(DATE($A18+1,7,31)),"sø","ma","ti","on","to","fr","lø")</f>
        <v>sø</v>
      </c>
    </row>
    <row r="19" spans="1:16" ht="16">
      <c r="A19" s="4">
        <v>2016</v>
      </c>
      <c r="B19" s="18" t="s">
        <v>28</v>
      </c>
      <c r="C19" s="27" t="str">
        <f>CHOOSE(WEEKDAY(DATE(A19,12,25)),"sø","ma","ti","on","to","fr","lø")</f>
        <v>sø</v>
      </c>
      <c r="D19" s="27" t="str">
        <f>CHOOSE(WEEKDAY(DATE($A19,12,26)),"sø","ma","ti","on","to","fr","lø")</f>
        <v>ma</v>
      </c>
      <c r="E19" s="27" t="str">
        <f>CHOOSE(WEEKDAY(DATE($A19+1,1,1)),"sø","ma","ti","on","to","fr","lø")</f>
        <v>sø</v>
      </c>
      <c r="F19" s="27">
        <f>3-((MID(C19,2,1)="ø")*2+(MID(D19,2,1)="ø"))</f>
        <v>1</v>
      </c>
      <c r="G19" s="27">
        <v>6</v>
      </c>
      <c r="H19" s="27">
        <v>25</v>
      </c>
      <c r="I19" s="27">
        <f>F19+G19+H19</f>
        <v>32</v>
      </c>
      <c r="J19" s="28">
        <f>1924-I19*7.4</f>
        <v>1687.2</v>
      </c>
      <c r="K19" s="29">
        <f>M19-N19-I19</f>
        <v>229</v>
      </c>
      <c r="L19" s="29">
        <f>M19-K19-H19</f>
        <v>111</v>
      </c>
      <c r="M19" s="30">
        <v>365</v>
      </c>
      <c r="N19" s="30">
        <v>104</v>
      </c>
      <c r="O19" s="30" t="str">
        <f>CHOOSE(WEEKDAY(DATE($A19,8,1)),"sø","ma","ti","on","to","fr","lø")</f>
        <v>ma</v>
      </c>
      <c r="P19" s="30" t="str">
        <f>CHOOSE(WEEKDAY(DATE($A19+1,7,31)),"sø","ma","ti","on","to","fr","lø")</f>
        <v>ma</v>
      </c>
    </row>
    <row r="20" spans="1:16" ht="16">
      <c r="A20" s="4"/>
      <c r="B20" s="4"/>
      <c r="C20" s="4"/>
      <c r="D20" s="4"/>
      <c r="E20" s="4"/>
      <c r="F20" s="4"/>
      <c r="G20" s="4"/>
      <c r="H20" s="4"/>
      <c r="I20" s="25" t="s">
        <v>3</v>
      </c>
      <c r="J20" s="26">
        <f>AVERAGE(J11:J19)</f>
        <v>1679.8</v>
      </c>
      <c r="K20" s="4"/>
      <c r="L20" s="4"/>
      <c r="M20" s="4"/>
      <c r="N20" s="4"/>
      <c r="O20" s="4"/>
      <c r="P20" s="4"/>
    </row>
  </sheetData>
  <mergeCells count="20">
    <mergeCell ref="O4:O9"/>
    <mergeCell ref="P4:P9"/>
    <mergeCell ref="G1:G3"/>
    <mergeCell ref="C1:E3"/>
    <mergeCell ref="M1:M3"/>
    <mergeCell ref="N1:N3"/>
    <mergeCell ref="O1:O3"/>
    <mergeCell ref="P1:P3"/>
    <mergeCell ref="I1:I3"/>
    <mergeCell ref="J1:J3"/>
    <mergeCell ref="A4:A9"/>
    <mergeCell ref="B4:B9"/>
    <mergeCell ref="M4:M9"/>
    <mergeCell ref="N4:N9"/>
    <mergeCell ref="K1:K3"/>
    <mergeCell ref="L1:L3"/>
    <mergeCell ref="A1:A3"/>
    <mergeCell ref="B1:B3"/>
    <mergeCell ref="F1:F3"/>
    <mergeCell ref="H1:H3"/>
  </mergeCells>
  <phoneticPr fontId="10"/>
  <pageMargins left="0.75" right="0.75" top="1" bottom="1" header="0.5" footer="0.5"/>
  <pageSetup paperSize="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Eksempel løn særlige feriedage</vt:lpstr>
      <vt:lpstr>løn særlige feriedage</vt:lpstr>
      <vt:lpstr>SH-dage</vt:lpstr>
      <vt:lpstr>'Eksempel løn særlige feriedage'!Udskriftsområde</vt:lpstr>
      <vt:lpstr>'løn særlige feriedage'!Udskriftsområde</vt:lpstr>
    </vt:vector>
  </TitlesOfParts>
  <Company>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Mikkelsen</dc:creator>
  <cp:lastModifiedBy>Tove Dohn</cp:lastModifiedBy>
  <cp:lastPrinted>2017-09-14T08:58:28Z</cp:lastPrinted>
  <dcterms:created xsi:type="dcterms:W3CDTF">2008-04-24T08:56:12Z</dcterms:created>
  <dcterms:modified xsi:type="dcterms:W3CDTF">2020-10-05T14:35:06Z</dcterms:modified>
</cp:coreProperties>
</file>